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heme/themeOverride1.xml" ContentType="application/vnd.openxmlformats-officedocument.themeOverrid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60" windowWidth="27555" windowHeight="12300" activeTab="2"/>
  </bookViews>
  <sheets>
    <sheet name="2013 - 8760 Load" sheetId="4" r:id="rId1"/>
    <sheet name="2015 - 24-Hr Minimum Day Curve" sheetId="1" r:id="rId2"/>
    <sheet name="2016 24-Hr Forecasted Net Load" sheetId="2" r:id="rId3"/>
    <sheet name="Sheet3" sheetId="3" r:id="rId4"/>
  </sheets>
  <definedNames>
    <definedName name="_Day1" localSheetId="0">'2013 - 8760 Load'!#REF!</definedName>
    <definedName name="_Day1_IsWD" localSheetId="0">FALSE</definedName>
    <definedName name="_Day10" localSheetId="0">'2013 - 8760 Load'!#REF!</definedName>
    <definedName name="_Day10_IsWD" localSheetId="0">FALSE</definedName>
    <definedName name="_Day100" localSheetId="0">'2013 - 8760 Load'!#REF!</definedName>
    <definedName name="_Day100_IsWD" localSheetId="0">FALSE</definedName>
    <definedName name="_Day1000" localSheetId="0">'2013 - 8760 Load'!#REF!</definedName>
    <definedName name="_Day1000_IsWD" localSheetId="0">TRUE</definedName>
    <definedName name="_Day1001" localSheetId="0">'2013 - 8760 Load'!#REF!</definedName>
    <definedName name="_Day1001_IsWD" localSheetId="0">FALSE</definedName>
    <definedName name="_Day1002" localSheetId="0">'2013 - 8760 Load'!#REF!</definedName>
    <definedName name="_Day1002_IsWD" localSheetId="0">FALSE</definedName>
    <definedName name="_Day1003" localSheetId="0">'2013 - 8760 Load'!#REF!</definedName>
    <definedName name="_Day1003_IsWD" localSheetId="0">TRUE</definedName>
    <definedName name="_Day1004" localSheetId="0">'2013 - 8760 Load'!#REF!</definedName>
    <definedName name="_Day1004_IsWD" localSheetId="0">TRUE</definedName>
    <definedName name="_Day1005" localSheetId="0">'2013 - 8760 Load'!#REF!</definedName>
    <definedName name="_Day1005_IsWD" localSheetId="0">TRUE</definedName>
    <definedName name="_Day1006" localSheetId="0">'2013 - 8760 Load'!#REF!</definedName>
    <definedName name="_Day1006_IsWD" localSheetId="0">TRUE</definedName>
    <definedName name="_Day1007" localSheetId="0">'2013 - 8760 Load'!#REF!</definedName>
    <definedName name="_Day1007_IsWD" localSheetId="0">TRUE</definedName>
    <definedName name="_Day1008" localSheetId="0">'2013 - 8760 Load'!#REF!</definedName>
    <definedName name="_Day1008_IsWD" localSheetId="0">FALSE</definedName>
    <definedName name="_Day1009" localSheetId="0">'2013 - 8760 Load'!#REF!</definedName>
    <definedName name="_Day1009_IsWD" localSheetId="0">FALSE</definedName>
    <definedName name="_Day101" localSheetId="0">'2013 - 8760 Load'!#REF!</definedName>
    <definedName name="_Day101_IsWD" localSheetId="0">FALSE</definedName>
    <definedName name="_Day1010" localSheetId="0">'2013 - 8760 Load'!#REF!</definedName>
    <definedName name="_Day1010_IsWD" localSheetId="0">TRUE</definedName>
    <definedName name="_Day1011" localSheetId="0">'2013 - 8760 Load'!#REF!</definedName>
    <definedName name="_Day1011_IsWD" localSheetId="0">TRUE</definedName>
    <definedName name="_Day1012" localSheetId="0">'2013 - 8760 Load'!#REF!</definedName>
    <definedName name="_Day1012_IsWD" localSheetId="0">TRUE</definedName>
    <definedName name="_Day1013" localSheetId="0">'2013 - 8760 Load'!#REF!</definedName>
    <definedName name="_Day1013_IsWD" localSheetId="0">TRUE</definedName>
    <definedName name="_Day1014" localSheetId="0">'2013 - 8760 Load'!#REF!</definedName>
    <definedName name="_Day1014_IsWD" localSheetId="0">TRUE</definedName>
    <definedName name="_Day1015" localSheetId="0">'2013 - 8760 Load'!#REF!</definedName>
    <definedName name="_Day1015_IsWD" localSheetId="0">FALSE</definedName>
    <definedName name="_Day1016" localSheetId="0">'2013 - 8760 Load'!#REF!</definedName>
    <definedName name="_Day1016_IsWD" localSheetId="0">FALSE</definedName>
    <definedName name="_Day1017" localSheetId="0">'2013 - 8760 Load'!#REF!</definedName>
    <definedName name="_Day1017_IsWD" localSheetId="0">FALSE</definedName>
    <definedName name="_Day1018" localSheetId="0">'2013 - 8760 Load'!#REF!</definedName>
    <definedName name="_Day1018_IsWD" localSheetId="0">TRUE</definedName>
    <definedName name="_Day1019" localSheetId="0">'2013 - 8760 Load'!#REF!</definedName>
    <definedName name="_Day1019_IsWD" localSheetId="0">TRUE</definedName>
    <definedName name="_Day102" localSheetId="0">'2013 - 8760 Load'!#REF!</definedName>
    <definedName name="_Day102_IsWD" localSheetId="0">FALSE</definedName>
    <definedName name="_Day1020" localSheetId="0">'2013 - 8760 Load'!#REF!</definedName>
    <definedName name="_Day1020_IsWD" localSheetId="0">TRUE</definedName>
    <definedName name="_Day1021" localSheetId="0">'2013 - 8760 Load'!#REF!</definedName>
    <definedName name="_Day1021_IsWD" localSheetId="0">TRUE</definedName>
    <definedName name="_Day1022" localSheetId="0">'2013 - 8760 Load'!#REF!</definedName>
    <definedName name="_Day1022_IsWD" localSheetId="0">FALSE</definedName>
    <definedName name="_Day1023" localSheetId="0">'2013 - 8760 Load'!#REF!</definedName>
    <definedName name="_Day1023_IsWD" localSheetId="0">FALSE</definedName>
    <definedName name="_Day1024" localSheetId="0">'2013 - 8760 Load'!#REF!</definedName>
    <definedName name="_Day1024_IsWD" localSheetId="0">TRUE</definedName>
    <definedName name="_Day1025" localSheetId="0">'2013 - 8760 Load'!#REF!</definedName>
    <definedName name="_Day1025_IsWD" localSheetId="0">TRUE</definedName>
    <definedName name="_Day1026" localSheetId="0">'2013 - 8760 Load'!#REF!</definedName>
    <definedName name="_Day1026_IsWD" localSheetId="0">TRUE</definedName>
    <definedName name="_Day1027" localSheetId="0">'2013 - 8760 Load'!#REF!</definedName>
    <definedName name="_Day1027_IsWD" localSheetId="0">TRUE</definedName>
    <definedName name="_Day1028" localSheetId="0">'2013 - 8760 Load'!#REF!</definedName>
    <definedName name="_Day1028_IsWD" localSheetId="0">TRUE</definedName>
    <definedName name="_Day1029" localSheetId="0">'2013 - 8760 Load'!#REF!</definedName>
    <definedName name="_Day1029_IsWD" localSheetId="0">FALSE</definedName>
    <definedName name="_Day103" localSheetId="0">'2013 - 8760 Load'!#REF!</definedName>
    <definedName name="_Day103_IsWD" localSheetId="0">FALSE</definedName>
    <definedName name="_Day1030" localSheetId="0">'2013 - 8760 Load'!#REF!</definedName>
    <definedName name="_Day1030_IsWD" localSheetId="0">FALSE</definedName>
    <definedName name="_Day1031" localSheetId="0">'2013 - 8760 Load'!#REF!</definedName>
    <definedName name="_Day1031_IsWD" localSheetId="0">TRUE</definedName>
    <definedName name="_Day1032" localSheetId="0">'2013 - 8760 Load'!#REF!</definedName>
    <definedName name="_Day1032_IsWD" localSheetId="0">TRUE</definedName>
    <definedName name="_Day1033" localSheetId="0">'2013 - 8760 Load'!#REF!</definedName>
    <definedName name="_Day1033_IsWD" localSheetId="0">TRUE</definedName>
    <definedName name="_Day1034" localSheetId="0">'2013 - 8760 Load'!#REF!</definedName>
    <definedName name="_Day1034_IsWD" localSheetId="0">TRUE</definedName>
    <definedName name="_Day1035" localSheetId="0">'2013 - 8760 Load'!#REF!</definedName>
    <definedName name="_Day1035_IsWD" localSheetId="0">TRUE</definedName>
    <definedName name="_Day1036" localSheetId="0">'2013 - 8760 Load'!#REF!</definedName>
    <definedName name="_Day1036_IsWD" localSheetId="0">FALSE</definedName>
    <definedName name="_Day1037" localSheetId="0">'2013 - 8760 Load'!#REF!</definedName>
    <definedName name="_Day1037_IsWD" localSheetId="0">FALSE</definedName>
    <definedName name="_Day1038" localSheetId="0">'2013 - 8760 Load'!#REF!</definedName>
    <definedName name="_Day1038_IsWD" localSheetId="0">TRUE</definedName>
    <definedName name="_Day1039" localSheetId="0">'2013 - 8760 Load'!#REF!</definedName>
    <definedName name="_Day1039_IsWD" localSheetId="0">TRUE</definedName>
    <definedName name="_Day104" localSheetId="0">'2013 - 8760 Load'!#REF!</definedName>
    <definedName name="_Day104_IsWD" localSheetId="0">FALSE</definedName>
    <definedName name="_Day1040" localSheetId="0">'2013 - 8760 Load'!#REF!</definedName>
    <definedName name="_Day1040_IsWD" localSheetId="0">TRUE</definedName>
    <definedName name="_Day1041" localSheetId="0">'2013 - 8760 Load'!#REF!</definedName>
    <definedName name="_Day1041_IsWD" localSheetId="0">TRUE</definedName>
    <definedName name="_Day1042" localSheetId="0">'2013 - 8760 Load'!#REF!</definedName>
    <definedName name="_Day1042_IsWD" localSheetId="0">TRUE</definedName>
    <definedName name="_Day1043" localSheetId="0">'2013 - 8760 Load'!#REF!</definedName>
    <definedName name="_Day1043_IsWD" localSheetId="0">FALSE</definedName>
    <definedName name="_Day1044" localSheetId="0">'2013 - 8760 Load'!#REF!</definedName>
    <definedName name="_Day1044_IsWD" localSheetId="0">FALSE</definedName>
    <definedName name="_Day1045" localSheetId="0">'2013 - 8760 Load'!#REF!</definedName>
    <definedName name="_Day1045_IsWD" localSheetId="0">TRUE</definedName>
    <definedName name="_Day1046" localSheetId="0">'2013 - 8760 Load'!#REF!</definedName>
    <definedName name="_Day1046_IsWD" localSheetId="0">FALSE</definedName>
    <definedName name="_Day1047" localSheetId="0">'2013 - 8760 Load'!#REF!</definedName>
    <definedName name="_Day1047_IsWD" localSheetId="0">TRUE</definedName>
    <definedName name="_Day1048" localSheetId="0">'2013 - 8760 Load'!#REF!</definedName>
    <definedName name="_Day1048_IsWD" localSheetId="0">TRUE</definedName>
    <definedName name="_Day1049" localSheetId="0">'2013 - 8760 Load'!#REF!</definedName>
    <definedName name="_Day1049_IsWD" localSheetId="0">TRUE</definedName>
    <definedName name="_Day105" localSheetId="0">'2013 - 8760 Load'!#REF!</definedName>
    <definedName name="_Day105_IsWD" localSheetId="0">FALSE</definedName>
    <definedName name="_Day1050" localSheetId="0">'2013 - 8760 Load'!#REF!</definedName>
    <definedName name="_Day1050_IsWD" localSheetId="0">FALSE</definedName>
    <definedName name="_Day1051" localSheetId="0">'2013 - 8760 Load'!#REF!</definedName>
    <definedName name="_Day1051_IsWD" localSheetId="0">FALSE</definedName>
    <definedName name="_Day1052" localSheetId="0">'2013 - 8760 Load'!#REF!</definedName>
    <definedName name="_Day1052_IsWD" localSheetId="0">TRUE</definedName>
    <definedName name="_Day1053" localSheetId="0">'2013 - 8760 Load'!#REF!</definedName>
    <definedName name="_Day1053_IsWD" localSheetId="0">TRUE</definedName>
    <definedName name="_Day1054" localSheetId="0">'2013 - 8760 Load'!#REF!</definedName>
    <definedName name="_Day1054_IsWD" localSheetId="0">TRUE</definedName>
    <definedName name="_Day1055" localSheetId="0">'2013 - 8760 Load'!#REF!</definedName>
    <definedName name="_Day1055_IsWD" localSheetId="0">TRUE</definedName>
    <definedName name="_Day1056" localSheetId="0">'2013 - 8760 Load'!#REF!</definedName>
    <definedName name="_Day1056_IsWD" localSheetId="0">TRUE</definedName>
    <definedName name="_Day1057" localSheetId="0">'2013 - 8760 Load'!#REF!</definedName>
    <definedName name="_Day1057_IsWD" localSheetId="0">FALSE</definedName>
    <definedName name="_Day1058" localSheetId="0">'2013 - 8760 Load'!#REF!</definedName>
    <definedName name="_Day1058_IsWD" localSheetId="0">FALSE</definedName>
    <definedName name="_Day1059" localSheetId="0">'2013 - 8760 Load'!#REF!</definedName>
    <definedName name="_Day1059_IsWD" localSheetId="0">TRUE</definedName>
    <definedName name="_Day106" localSheetId="0">'2013 - 8760 Load'!#REF!</definedName>
    <definedName name="_Day106_IsWD" localSheetId="0">FALSE</definedName>
    <definedName name="_Day1060" localSheetId="0">'2013 - 8760 Load'!#REF!</definedName>
    <definedName name="_Day1060_IsWD" localSheetId="0">TRUE</definedName>
    <definedName name="_Day1061" localSheetId="0">'2013 - 8760 Load'!#REF!</definedName>
    <definedName name="_Day1061_IsWD" localSheetId="0">TRUE</definedName>
    <definedName name="_Day1062" localSheetId="0">'2013 - 8760 Load'!#REF!</definedName>
    <definedName name="_Day1062_IsWD" localSheetId="0">FALSE</definedName>
    <definedName name="_Day1063" localSheetId="0">'2013 - 8760 Load'!#REF!</definedName>
    <definedName name="_Day1063_IsWD" localSheetId="0">FALSE</definedName>
    <definedName name="_Day1064" localSheetId="0">'2013 - 8760 Load'!#REF!</definedName>
    <definedName name="_Day1064_IsWD" localSheetId="0">FALSE</definedName>
    <definedName name="_Day1065" localSheetId="0">'2013 - 8760 Load'!#REF!</definedName>
    <definedName name="_Day1065_IsWD" localSheetId="0">FALSE</definedName>
    <definedName name="_Day1066" localSheetId="0">'2013 - 8760 Load'!#REF!</definedName>
    <definedName name="_Day1066_IsWD" localSheetId="0">TRUE</definedName>
    <definedName name="_Day1067" localSheetId="0">'2013 - 8760 Load'!#REF!</definedName>
    <definedName name="_Day1067_IsWD" localSheetId="0">TRUE</definedName>
    <definedName name="_Day1068" localSheetId="0">'2013 - 8760 Load'!#REF!</definedName>
    <definedName name="_Day1068_IsWD" localSheetId="0">TRUE</definedName>
    <definedName name="_Day1069" localSheetId="0">'2013 - 8760 Load'!#REF!</definedName>
    <definedName name="_Day1069_IsWD" localSheetId="0">TRUE</definedName>
    <definedName name="_Day107" localSheetId="0">'2013 - 8760 Load'!#REF!</definedName>
    <definedName name="_Day107_IsWD" localSheetId="0">FALSE</definedName>
    <definedName name="_Day1070" localSheetId="0">'2013 - 8760 Load'!#REF!</definedName>
    <definedName name="_Day1070_IsWD" localSheetId="0">TRUE</definedName>
    <definedName name="_Day1071" localSheetId="0">'2013 - 8760 Load'!#REF!</definedName>
    <definedName name="_Day1071_IsWD" localSheetId="0">FALSE</definedName>
    <definedName name="_Day1072" localSheetId="0">'2013 - 8760 Load'!#REF!</definedName>
    <definedName name="_Day1072_IsWD" localSheetId="0">FALSE</definedName>
    <definedName name="_Day1073" localSheetId="0">'2013 - 8760 Load'!#REF!</definedName>
    <definedName name="_Day1073_IsWD" localSheetId="0">TRUE</definedName>
    <definedName name="_Day1074" localSheetId="0">'2013 - 8760 Load'!#REF!</definedName>
    <definedName name="_Day1074_IsWD" localSheetId="0">TRUE</definedName>
    <definedName name="_Day1075" localSheetId="0">'2013 - 8760 Load'!#REF!</definedName>
    <definedName name="_Day1075_IsWD" localSheetId="0">TRUE</definedName>
    <definedName name="_Day1076" localSheetId="0">'2013 - 8760 Load'!#REF!</definedName>
    <definedName name="_Day1076_IsWD" localSheetId="0">TRUE</definedName>
    <definedName name="_Day1077" localSheetId="0">'2013 - 8760 Load'!#REF!</definedName>
    <definedName name="_Day1077_IsWD" localSheetId="0">TRUE</definedName>
    <definedName name="_Day1078" localSheetId="0">'2013 - 8760 Load'!#REF!</definedName>
    <definedName name="_Day1078_IsWD" localSheetId="0">FALSE</definedName>
    <definedName name="_Day1079" localSheetId="0">'2013 - 8760 Load'!#REF!</definedName>
    <definedName name="_Day1079_IsWD" localSheetId="0">FALSE</definedName>
    <definedName name="_Day108" localSheetId="0">'2013 - 8760 Load'!#REF!</definedName>
    <definedName name="_Day108_IsWD" localSheetId="0">FALSE</definedName>
    <definedName name="_Day1080" localSheetId="0">'2013 - 8760 Load'!#REF!</definedName>
    <definedName name="_Day1080_IsWD" localSheetId="0">TRUE</definedName>
    <definedName name="_Day1081" localSheetId="0">'2013 - 8760 Load'!#REF!</definedName>
    <definedName name="_Day1081_IsWD" localSheetId="0">TRUE</definedName>
    <definedName name="_Day1082" localSheetId="0">'2013 - 8760 Load'!#REF!</definedName>
    <definedName name="_Day1082_IsWD" localSheetId="0">TRUE</definedName>
    <definedName name="_Day1083" localSheetId="0">'2013 - 8760 Load'!#REF!</definedName>
    <definedName name="_Day1083_IsWD" localSheetId="0">TRUE</definedName>
    <definedName name="_Day1084" localSheetId="0">'2013 - 8760 Load'!#REF!</definedName>
    <definedName name="_Day1084_IsWD" localSheetId="0">TRUE</definedName>
    <definedName name="_Day1085" localSheetId="0">'2013 - 8760 Load'!#REF!</definedName>
    <definedName name="_Day1085_IsWD" localSheetId="0">FALSE</definedName>
    <definedName name="_Day1086" localSheetId="0">'2013 - 8760 Load'!#REF!</definedName>
    <definedName name="_Day1086_IsWD" localSheetId="0">FALSE</definedName>
    <definedName name="_Day1087" localSheetId="0">'2013 - 8760 Load'!#REF!</definedName>
    <definedName name="_Day1087_IsWD" localSheetId="0">TRUE</definedName>
    <definedName name="_Day1088" localSheetId="0">'2013 - 8760 Load'!#REF!</definedName>
    <definedName name="_Day1088_IsWD" localSheetId="0">TRUE</definedName>
    <definedName name="_Day1089" localSheetId="0">'2013 - 8760 Load'!#REF!</definedName>
    <definedName name="_Day1089_IsWD" localSheetId="0">TRUE</definedName>
    <definedName name="_Day109" localSheetId="0">'2013 - 8760 Load'!#REF!</definedName>
    <definedName name="_Day109_IsWD" localSheetId="0">FALSE</definedName>
    <definedName name="_Day1090" localSheetId="0">'2013 - 8760 Load'!#REF!</definedName>
    <definedName name="_Day1090_IsWD" localSheetId="0">FALSE</definedName>
    <definedName name="_Day1091" localSheetId="0">'2013 - 8760 Load'!#REF!</definedName>
    <definedName name="_Day1091_IsWD" localSheetId="0">TRUE</definedName>
    <definedName name="_Day1092" localSheetId="0">'2013 - 8760 Load'!#REF!</definedName>
    <definedName name="_Day1092_IsWD" localSheetId="0">FALSE</definedName>
    <definedName name="_Day1093" localSheetId="0">'2013 - 8760 Load'!#REF!</definedName>
    <definedName name="_Day1093_IsWD" localSheetId="0">FALSE</definedName>
    <definedName name="_Day1094" localSheetId="0">'2013 - 8760 Load'!#REF!</definedName>
    <definedName name="_Day1094_IsWD" localSheetId="0">TRUE</definedName>
    <definedName name="_Day1095" localSheetId="0">'2013 - 8760 Load'!#REF!</definedName>
    <definedName name="_Day1095_IsWD" localSheetId="0">TRUE</definedName>
    <definedName name="_Day1096" localSheetId="0">'2013 - 8760 Load'!#REF!</definedName>
    <definedName name="_Day1096_IsWD" localSheetId="0">TRUE</definedName>
    <definedName name="_Day11" localSheetId="0">'2013 - 8760 Load'!#REF!</definedName>
    <definedName name="_Day11_IsWD" localSheetId="0">FALSE</definedName>
    <definedName name="_Day110" localSheetId="0">'2013 - 8760 Load'!#REF!</definedName>
    <definedName name="_Day110_IsWD" localSheetId="0">FALSE</definedName>
    <definedName name="_Day111" localSheetId="0">'2013 - 8760 Load'!#REF!</definedName>
    <definedName name="_Day111_IsWD" localSheetId="0">FALSE</definedName>
    <definedName name="_Day112" localSheetId="0">'2013 - 8760 Load'!#REF!</definedName>
    <definedName name="_Day112_IsWD" localSheetId="0">FALSE</definedName>
    <definedName name="_Day113" localSheetId="0">'2013 - 8760 Load'!#REF!</definedName>
    <definedName name="_Day113_IsWD" localSheetId="0">FALSE</definedName>
    <definedName name="_Day114" localSheetId="0">'2013 - 8760 Load'!#REF!</definedName>
    <definedName name="_Day114_IsWD" localSheetId="0">FALSE</definedName>
    <definedName name="_Day115" localSheetId="0">'2013 - 8760 Load'!#REF!</definedName>
    <definedName name="_Day115_IsWD" localSheetId="0">FALSE</definedName>
    <definedName name="_Day116" localSheetId="0">'2013 - 8760 Load'!#REF!</definedName>
    <definedName name="_Day116_IsWD" localSheetId="0">FALSE</definedName>
    <definedName name="_Day117" localSheetId="0">'2013 - 8760 Load'!#REF!</definedName>
    <definedName name="_Day117_IsWD" localSheetId="0">FALSE</definedName>
    <definedName name="_Day118" localSheetId="0">'2013 - 8760 Load'!#REF!</definedName>
    <definedName name="_Day118_IsWD" localSheetId="0">FALSE</definedName>
    <definedName name="_Day119" localSheetId="0">'2013 - 8760 Load'!#REF!</definedName>
    <definedName name="_Day119_IsWD" localSheetId="0">FALSE</definedName>
    <definedName name="_Day12" localSheetId="0">'2013 - 8760 Load'!#REF!</definedName>
    <definedName name="_Day12_IsWD" localSheetId="0">FALSE</definedName>
    <definedName name="_Day120" localSheetId="0">'2013 - 8760 Load'!#REF!</definedName>
    <definedName name="_Day120_IsWD" localSheetId="0">FALSE</definedName>
    <definedName name="_Day121" localSheetId="0">'2013 - 8760 Load'!#REF!</definedName>
    <definedName name="_Day121_IsWD" localSheetId="0">FALSE</definedName>
    <definedName name="_Day122" localSheetId="0">'2013 - 8760 Load'!#REF!</definedName>
    <definedName name="_Day122_IsWD" localSheetId="0">FALSE</definedName>
    <definedName name="_Day123" localSheetId="0">'2013 - 8760 Load'!#REF!</definedName>
    <definedName name="_Day123_IsWD" localSheetId="0">FALSE</definedName>
    <definedName name="_Day124" localSheetId="0">'2013 - 8760 Load'!#REF!</definedName>
    <definedName name="_Day124_IsWD" localSheetId="0">FALSE</definedName>
    <definedName name="_Day125" localSheetId="0">'2013 - 8760 Load'!#REF!</definedName>
    <definedName name="_Day125_IsWD" localSheetId="0">FALSE</definedName>
    <definedName name="_Day126" localSheetId="0">'2013 - 8760 Load'!#REF!</definedName>
    <definedName name="_Day126_IsWD" localSheetId="0">FALSE</definedName>
    <definedName name="_Day127" localSheetId="0">'2013 - 8760 Load'!#REF!</definedName>
    <definedName name="_Day127_IsWD" localSheetId="0">FALSE</definedName>
    <definedName name="_Day128" localSheetId="0">'2013 - 8760 Load'!#REF!</definedName>
    <definedName name="_Day128_IsWD" localSheetId="0">FALSE</definedName>
    <definedName name="_Day129" localSheetId="0">'2013 - 8760 Load'!#REF!</definedName>
    <definedName name="_Day129_IsWD" localSheetId="0">FALSE</definedName>
    <definedName name="_Day13" localSheetId="0">'2013 - 8760 Load'!#REF!</definedName>
    <definedName name="_Day13_IsWD" localSheetId="0">FALSE</definedName>
    <definedName name="_Day130" localSheetId="0">'2013 - 8760 Load'!#REF!</definedName>
    <definedName name="_Day130_IsWD" localSheetId="0">FALSE</definedName>
    <definedName name="_Day131" localSheetId="0">'2013 - 8760 Load'!#REF!</definedName>
    <definedName name="_Day131_IsWD" localSheetId="0">FALSE</definedName>
    <definedName name="_Day132" localSheetId="0">'2013 - 8760 Load'!#REF!</definedName>
    <definedName name="_Day132_IsWD" localSheetId="0">FALSE</definedName>
    <definedName name="_Day133" localSheetId="0">'2013 - 8760 Load'!#REF!</definedName>
    <definedName name="_Day133_IsWD" localSheetId="0">FALSE</definedName>
    <definedName name="_Day134" localSheetId="0">'2013 - 8760 Load'!#REF!</definedName>
    <definedName name="_Day134_IsWD" localSheetId="0">FALSE</definedName>
    <definedName name="_Day135" localSheetId="0">'2013 - 8760 Load'!#REF!</definedName>
    <definedName name="_Day135_IsWD" localSheetId="0">FALSE</definedName>
    <definedName name="_Day136" localSheetId="0">'2013 - 8760 Load'!#REF!</definedName>
    <definedName name="_Day136_IsWD" localSheetId="0">FALSE</definedName>
    <definedName name="_Day137" localSheetId="0">'2013 - 8760 Load'!#REF!</definedName>
    <definedName name="_Day137_IsWD" localSheetId="0">FALSE</definedName>
    <definedName name="_Day138" localSheetId="0">'2013 - 8760 Load'!#REF!</definedName>
    <definedName name="_Day138_IsWD" localSheetId="0">FALSE</definedName>
    <definedName name="_Day139" localSheetId="0">'2013 - 8760 Load'!#REF!</definedName>
    <definedName name="_Day139_IsWD" localSheetId="0">FALSE</definedName>
    <definedName name="_Day14" localSheetId="0">'2013 - 8760 Load'!#REF!</definedName>
    <definedName name="_Day14_IsWD" localSheetId="0">FALSE</definedName>
    <definedName name="_Day140" localSheetId="0">'2013 - 8760 Load'!#REF!</definedName>
    <definedName name="_Day140_IsWD" localSheetId="0">FALSE</definedName>
    <definedName name="_Day141" localSheetId="0">'2013 - 8760 Load'!#REF!</definedName>
    <definedName name="_Day141_IsWD" localSheetId="0">FALSE</definedName>
    <definedName name="_Day142" localSheetId="0">'2013 - 8760 Load'!#REF!</definedName>
    <definedName name="_Day142_IsWD" localSheetId="0">FALSE</definedName>
    <definedName name="_Day143" localSheetId="0">'2013 - 8760 Load'!#REF!</definedName>
    <definedName name="_Day143_IsWD" localSheetId="0">FALSE</definedName>
    <definedName name="_Day144" localSheetId="0">'2013 - 8760 Load'!#REF!</definedName>
    <definedName name="_Day144_IsWD" localSheetId="0">FALSE</definedName>
    <definedName name="_Day145" localSheetId="0">'2013 - 8760 Load'!#REF!</definedName>
    <definedName name="_Day145_IsWD" localSheetId="0">FALSE</definedName>
    <definedName name="_Day146" localSheetId="0">'2013 - 8760 Load'!#REF!</definedName>
    <definedName name="_Day146_IsWD" localSheetId="0">FALSE</definedName>
    <definedName name="_Day147" localSheetId="0">'2013 - 8760 Load'!#REF!</definedName>
    <definedName name="_Day147_IsWD" localSheetId="0">FALSE</definedName>
    <definedName name="_Day148" localSheetId="0">'2013 - 8760 Load'!#REF!</definedName>
    <definedName name="_Day148_IsWD" localSheetId="0">FALSE</definedName>
    <definedName name="_Day149" localSheetId="0">'2013 - 8760 Load'!#REF!</definedName>
    <definedName name="_Day149_IsWD" localSheetId="0">FALSE</definedName>
    <definedName name="_Day15" localSheetId="0">'2013 - 8760 Load'!#REF!</definedName>
    <definedName name="_Day15_IsWD" localSheetId="0">FALSE</definedName>
    <definedName name="_Day150" localSheetId="0">'2013 - 8760 Load'!#REF!</definedName>
    <definedName name="_Day150_IsWD" localSheetId="0">FALSE</definedName>
    <definedName name="_Day151" localSheetId="0">'2013 - 8760 Load'!#REF!</definedName>
    <definedName name="_Day151_IsWD" localSheetId="0">FALSE</definedName>
    <definedName name="_Day152" localSheetId="0">'2013 - 8760 Load'!#REF!</definedName>
    <definedName name="_Day152_IsWD" localSheetId="0">FALSE</definedName>
    <definedName name="_Day153" localSheetId="0">'2013 - 8760 Load'!#REF!</definedName>
    <definedName name="_Day153_IsWD" localSheetId="0">FALSE</definedName>
    <definedName name="_Day154" localSheetId="0">'2013 - 8760 Load'!#REF!</definedName>
    <definedName name="_Day154_IsWD" localSheetId="0">FALSE</definedName>
    <definedName name="_Day155" localSheetId="0">'2013 - 8760 Load'!#REF!</definedName>
    <definedName name="_Day155_IsWD" localSheetId="0">FALSE</definedName>
    <definedName name="_Day156" localSheetId="0">'2013 - 8760 Load'!#REF!</definedName>
    <definedName name="_Day156_IsWD" localSheetId="0">FALSE</definedName>
    <definedName name="_Day157" localSheetId="0">'2013 - 8760 Load'!#REF!</definedName>
    <definedName name="_Day157_IsWD" localSheetId="0">FALSE</definedName>
    <definedName name="_Day158" localSheetId="0">'2013 - 8760 Load'!#REF!</definedName>
    <definedName name="_Day158_IsWD" localSheetId="0">FALSE</definedName>
    <definedName name="_Day159" localSheetId="0">'2013 - 8760 Load'!#REF!</definedName>
    <definedName name="_Day159_IsWD" localSheetId="0">FALSE</definedName>
    <definedName name="_Day16" localSheetId="0">'2013 - 8760 Load'!#REF!</definedName>
    <definedName name="_Day16_IsWD" localSheetId="0">FALSE</definedName>
    <definedName name="_Day160" localSheetId="0">'2013 - 8760 Load'!#REF!</definedName>
    <definedName name="_Day160_IsWD" localSheetId="0">FALSE</definedName>
    <definedName name="_Day161" localSheetId="0">'2013 - 8760 Load'!#REF!</definedName>
    <definedName name="_Day161_IsWD" localSheetId="0">FALSE</definedName>
    <definedName name="_Day162" localSheetId="0">'2013 - 8760 Load'!#REF!</definedName>
    <definedName name="_Day162_IsWD" localSheetId="0">FALSE</definedName>
    <definedName name="_Day163" localSheetId="0">'2013 - 8760 Load'!#REF!</definedName>
    <definedName name="_Day163_IsWD" localSheetId="0">FALSE</definedName>
    <definedName name="_Day164" localSheetId="0">'2013 - 8760 Load'!#REF!</definedName>
    <definedName name="_Day164_IsWD" localSheetId="0">FALSE</definedName>
    <definedName name="_Day165" localSheetId="0">'2013 - 8760 Load'!#REF!</definedName>
    <definedName name="_Day165_IsWD" localSheetId="0">FALSE</definedName>
    <definedName name="_Day166" localSheetId="0">'2013 - 8760 Load'!#REF!</definedName>
    <definedName name="_Day166_IsWD" localSheetId="0">FALSE</definedName>
    <definedName name="_Day167" localSheetId="0">'2013 - 8760 Load'!#REF!</definedName>
    <definedName name="_Day167_IsWD" localSheetId="0">FALSE</definedName>
    <definedName name="_Day168" localSheetId="0">'2013 - 8760 Load'!#REF!</definedName>
    <definedName name="_Day168_IsWD" localSheetId="0">FALSE</definedName>
    <definedName name="_Day169" localSheetId="0">'2013 - 8760 Load'!#REF!</definedName>
    <definedName name="_Day169_IsWD" localSheetId="0">FALSE</definedName>
    <definedName name="_Day17" localSheetId="0">'2013 - 8760 Load'!#REF!</definedName>
    <definedName name="_Day17_IsWD" localSheetId="0">FALSE</definedName>
    <definedName name="_Day170" localSheetId="0">'2013 - 8760 Load'!#REF!</definedName>
    <definedName name="_Day170_IsWD" localSheetId="0">FALSE</definedName>
    <definedName name="_Day171" localSheetId="0">'2013 - 8760 Load'!#REF!</definedName>
    <definedName name="_Day171_IsWD" localSheetId="0">FALSE</definedName>
    <definedName name="_Day172" localSheetId="0">'2013 - 8760 Load'!#REF!</definedName>
    <definedName name="_Day172_IsWD" localSheetId="0">FALSE</definedName>
    <definedName name="_Day173" localSheetId="0">'2013 - 8760 Load'!#REF!</definedName>
    <definedName name="_Day173_IsWD" localSheetId="0">FALSE</definedName>
    <definedName name="_Day174" localSheetId="0">'2013 - 8760 Load'!#REF!</definedName>
    <definedName name="_Day174_IsWD" localSheetId="0">FALSE</definedName>
    <definedName name="_Day175" localSheetId="0">'2013 - 8760 Load'!#REF!</definedName>
    <definedName name="_Day175_IsWD" localSheetId="0">FALSE</definedName>
    <definedName name="_Day176" localSheetId="0">'2013 - 8760 Load'!#REF!</definedName>
    <definedName name="_Day176_IsWD" localSheetId="0">FALSE</definedName>
    <definedName name="_Day177" localSheetId="0">'2013 - 8760 Load'!#REF!</definedName>
    <definedName name="_Day177_IsWD" localSheetId="0">FALSE</definedName>
    <definedName name="_Day178" localSheetId="0">'2013 - 8760 Load'!#REF!</definedName>
    <definedName name="_Day178_IsWD" localSheetId="0">FALSE</definedName>
    <definedName name="_Day179" localSheetId="0">'2013 - 8760 Load'!#REF!</definedName>
    <definedName name="_Day179_IsWD" localSheetId="0">FALSE</definedName>
    <definedName name="_Day18" localSheetId="0">'2013 - 8760 Load'!#REF!</definedName>
    <definedName name="_Day18_IsWD" localSheetId="0">FALSE</definedName>
    <definedName name="_Day180" localSheetId="0">'2013 - 8760 Load'!#REF!</definedName>
    <definedName name="_Day180_IsWD" localSheetId="0">FALSE</definedName>
    <definedName name="_Day181" localSheetId="0">'2013 - 8760 Load'!#REF!</definedName>
    <definedName name="_Day181_IsWD" localSheetId="0">FALSE</definedName>
    <definedName name="_Day182" localSheetId="0">'2013 - 8760 Load'!#REF!</definedName>
    <definedName name="_Day182_IsWD" localSheetId="0">FALSE</definedName>
    <definedName name="_Day183" localSheetId="0">'2013 - 8760 Load'!#REF!</definedName>
    <definedName name="_Day183_IsWD" localSheetId="0">FALSE</definedName>
    <definedName name="_Day184" localSheetId="0">'2013 - 8760 Load'!#REF!</definedName>
    <definedName name="_Day184_IsWD" localSheetId="0">FALSE</definedName>
    <definedName name="_Day185" localSheetId="0">'2013 - 8760 Load'!#REF!</definedName>
    <definedName name="_Day185_IsWD" localSheetId="0">FALSE</definedName>
    <definedName name="_Day186" localSheetId="0">'2013 - 8760 Load'!#REF!</definedName>
    <definedName name="_Day186_IsWD" localSheetId="0">FALSE</definedName>
    <definedName name="_Day187" localSheetId="0">'2013 - 8760 Load'!#REF!</definedName>
    <definedName name="_Day187_IsWD" localSheetId="0">FALSE</definedName>
    <definedName name="_Day188" localSheetId="0">'2013 - 8760 Load'!#REF!</definedName>
    <definedName name="_Day188_IsWD" localSheetId="0">FALSE</definedName>
    <definedName name="_Day189" localSheetId="0">'2013 - 8760 Load'!#REF!</definedName>
    <definedName name="_Day189_IsWD" localSheetId="0">FALSE</definedName>
    <definedName name="_Day19" localSheetId="0">'2013 - 8760 Load'!#REF!</definedName>
    <definedName name="_Day19_IsWD" localSheetId="0">FALSE</definedName>
    <definedName name="_Day190" localSheetId="0">'2013 - 8760 Load'!#REF!</definedName>
    <definedName name="_Day190_IsWD" localSheetId="0">FALSE</definedName>
    <definedName name="_Day191" localSheetId="0">'2013 - 8760 Load'!#REF!</definedName>
    <definedName name="_Day191_IsWD" localSheetId="0">FALSE</definedName>
    <definedName name="_Day192" localSheetId="0">'2013 - 8760 Load'!#REF!</definedName>
    <definedName name="_Day192_IsWD" localSheetId="0">FALSE</definedName>
    <definedName name="_Day193" localSheetId="0">'2013 - 8760 Load'!#REF!</definedName>
    <definedName name="_Day193_IsWD" localSheetId="0">FALSE</definedName>
    <definedName name="_Day194" localSheetId="0">'2013 - 8760 Load'!#REF!</definedName>
    <definedName name="_Day194_IsWD" localSheetId="0">FALSE</definedName>
    <definedName name="_Day195" localSheetId="0">'2013 - 8760 Load'!#REF!</definedName>
    <definedName name="_Day195_IsWD" localSheetId="0">FALSE</definedName>
    <definedName name="_Day196" localSheetId="0">'2013 - 8760 Load'!#REF!</definedName>
    <definedName name="_Day196_IsWD" localSheetId="0">FALSE</definedName>
    <definedName name="_Day197" localSheetId="0">'2013 - 8760 Load'!#REF!</definedName>
    <definedName name="_Day197_IsWD" localSheetId="0">FALSE</definedName>
    <definedName name="_Day198" localSheetId="0">'2013 - 8760 Load'!#REF!</definedName>
    <definedName name="_Day198_IsWD" localSheetId="0">FALSE</definedName>
    <definedName name="_Day199" localSheetId="0">'2013 - 8760 Load'!#REF!</definedName>
    <definedName name="_Day199_IsWD" localSheetId="0">FALSE</definedName>
    <definedName name="_Day2" localSheetId="0">'2013 - 8760 Load'!#REF!</definedName>
    <definedName name="_Day2_IsWD" localSheetId="0">FALSE</definedName>
    <definedName name="_Day20" localSheetId="0">'2013 - 8760 Load'!#REF!</definedName>
    <definedName name="_Day20_IsWD" localSheetId="0">FALSE</definedName>
    <definedName name="_Day200" localSheetId="0">'2013 - 8760 Load'!#REF!</definedName>
    <definedName name="_Day200_IsWD" localSheetId="0">FALSE</definedName>
    <definedName name="_Day201" localSheetId="0">'2013 - 8760 Load'!#REF!</definedName>
    <definedName name="_Day201_IsWD" localSheetId="0">FALSE</definedName>
    <definedName name="_Day202" localSheetId="0">'2013 - 8760 Load'!#REF!</definedName>
    <definedName name="_Day202_IsWD" localSheetId="0">FALSE</definedName>
    <definedName name="_Day203" localSheetId="0">'2013 - 8760 Load'!#REF!</definedName>
    <definedName name="_Day203_IsWD" localSheetId="0">FALSE</definedName>
    <definedName name="_Day204" localSheetId="0">'2013 - 8760 Load'!#REF!</definedName>
    <definedName name="_Day204_IsWD" localSheetId="0">FALSE</definedName>
    <definedName name="_Day205" localSheetId="0">'2013 - 8760 Load'!#REF!</definedName>
    <definedName name="_Day205_IsWD" localSheetId="0">FALSE</definedName>
    <definedName name="_Day206" localSheetId="0">'2013 - 8760 Load'!#REF!</definedName>
    <definedName name="_Day206_IsWD" localSheetId="0">FALSE</definedName>
    <definedName name="_Day207" localSheetId="0">'2013 - 8760 Load'!#REF!</definedName>
    <definedName name="_Day207_IsWD" localSheetId="0">FALSE</definedName>
    <definedName name="_Day208" localSheetId="0">'2013 - 8760 Load'!#REF!</definedName>
    <definedName name="_Day208_IsWD" localSheetId="0">FALSE</definedName>
    <definedName name="_Day209" localSheetId="0">'2013 - 8760 Load'!#REF!</definedName>
    <definedName name="_Day209_IsWD" localSheetId="0">FALSE</definedName>
    <definedName name="_Day21" localSheetId="0">'2013 - 8760 Load'!#REF!</definedName>
    <definedName name="_Day21_IsWD" localSheetId="0">FALSE</definedName>
    <definedName name="_Day210" localSheetId="0">'2013 - 8760 Load'!#REF!</definedName>
    <definedName name="_Day210_IsWD" localSheetId="0">FALSE</definedName>
    <definedName name="_Day211" localSheetId="0">'2013 - 8760 Load'!#REF!</definedName>
    <definedName name="_Day211_IsWD" localSheetId="0">FALSE</definedName>
    <definedName name="_Day212" localSheetId="0">'2013 - 8760 Load'!#REF!</definedName>
    <definedName name="_Day212_IsWD" localSheetId="0">FALSE</definedName>
    <definedName name="_Day213" localSheetId="0">'2013 - 8760 Load'!#REF!</definedName>
    <definedName name="_Day213_IsWD" localSheetId="0">FALSE</definedName>
    <definedName name="_Day214" localSheetId="0">'2013 - 8760 Load'!#REF!</definedName>
    <definedName name="_Day214_IsWD" localSheetId="0">FALSE</definedName>
    <definedName name="_Day215" localSheetId="0">'2013 - 8760 Load'!#REF!</definedName>
    <definedName name="_Day215_IsWD" localSheetId="0">FALSE</definedName>
    <definedName name="_Day216" localSheetId="0">'2013 - 8760 Load'!#REF!</definedName>
    <definedName name="_Day216_IsWD" localSheetId="0">FALSE</definedName>
    <definedName name="_Day217" localSheetId="0">'2013 - 8760 Load'!#REF!</definedName>
    <definedName name="_Day217_IsWD" localSheetId="0">FALSE</definedName>
    <definedName name="_Day218" localSheetId="0">'2013 - 8760 Load'!#REF!</definedName>
    <definedName name="_Day218_IsWD" localSheetId="0">FALSE</definedName>
    <definedName name="_Day219" localSheetId="0">'2013 - 8760 Load'!#REF!</definedName>
    <definedName name="_Day219_IsWD" localSheetId="0">FALSE</definedName>
    <definedName name="_Day22" localSheetId="0">'2013 - 8760 Load'!#REF!</definedName>
    <definedName name="_Day22_IsWD" localSheetId="0">FALSE</definedName>
    <definedName name="_Day220" localSheetId="0">'2013 - 8760 Load'!#REF!</definedName>
    <definedName name="_Day220_IsWD" localSheetId="0">FALSE</definedName>
    <definedName name="_Day221" localSheetId="0">'2013 - 8760 Load'!#REF!</definedName>
    <definedName name="_Day221_IsWD" localSheetId="0">FALSE</definedName>
    <definedName name="_Day222" localSheetId="0">'2013 - 8760 Load'!#REF!</definedName>
    <definedName name="_Day222_IsWD" localSheetId="0">FALSE</definedName>
    <definedName name="_Day223" localSheetId="0">'2013 - 8760 Load'!#REF!</definedName>
    <definedName name="_Day223_IsWD" localSheetId="0">FALSE</definedName>
    <definedName name="_Day224" localSheetId="0">'2013 - 8760 Load'!#REF!</definedName>
    <definedName name="_Day224_IsWD" localSheetId="0">FALSE</definedName>
    <definedName name="_Day225" localSheetId="0">'2013 - 8760 Load'!#REF!</definedName>
    <definedName name="_Day225_IsWD" localSheetId="0">FALSE</definedName>
    <definedName name="_Day226" localSheetId="0">'2013 - 8760 Load'!#REF!</definedName>
    <definedName name="_Day226_IsWD" localSheetId="0">FALSE</definedName>
    <definedName name="_Day227" localSheetId="0">'2013 - 8760 Load'!#REF!</definedName>
    <definedName name="_Day227_IsWD" localSheetId="0">FALSE</definedName>
    <definedName name="_Day228" localSheetId="0">'2013 - 8760 Load'!#REF!</definedName>
    <definedName name="_Day228_IsWD" localSheetId="0">FALSE</definedName>
    <definedName name="_Day229" localSheetId="0">'2013 - 8760 Load'!#REF!</definedName>
    <definedName name="_Day229_IsWD" localSheetId="0">FALSE</definedName>
    <definedName name="_Day23" localSheetId="0">'2013 - 8760 Load'!#REF!</definedName>
    <definedName name="_Day23_IsWD" localSheetId="0">FALSE</definedName>
    <definedName name="_Day230" localSheetId="0">'2013 - 8760 Load'!#REF!</definedName>
    <definedName name="_Day230_IsWD" localSheetId="0">FALSE</definedName>
    <definedName name="_Day231" localSheetId="0">'2013 - 8760 Load'!#REF!</definedName>
    <definedName name="_Day231_IsWD" localSheetId="0">FALSE</definedName>
    <definedName name="_Day232" localSheetId="0">'2013 - 8760 Load'!#REF!</definedName>
    <definedName name="_Day232_IsWD" localSheetId="0">FALSE</definedName>
    <definedName name="_Day233" localSheetId="0">'2013 - 8760 Load'!#REF!</definedName>
    <definedName name="_Day233_IsWD" localSheetId="0">FALSE</definedName>
    <definedName name="_Day234" localSheetId="0">'2013 - 8760 Load'!#REF!</definedName>
    <definedName name="_Day234_IsWD" localSheetId="0">FALSE</definedName>
    <definedName name="_Day235" localSheetId="0">'2013 - 8760 Load'!#REF!</definedName>
    <definedName name="_Day235_IsWD" localSheetId="0">FALSE</definedName>
    <definedName name="_Day236" localSheetId="0">'2013 - 8760 Load'!#REF!</definedName>
    <definedName name="_Day236_IsWD" localSheetId="0">FALSE</definedName>
    <definedName name="_Day237" localSheetId="0">'2013 - 8760 Load'!#REF!</definedName>
    <definedName name="_Day237_IsWD" localSheetId="0">FALSE</definedName>
    <definedName name="_Day238" localSheetId="0">'2013 - 8760 Load'!#REF!</definedName>
    <definedName name="_Day238_IsWD" localSheetId="0">FALSE</definedName>
    <definedName name="_Day239" localSheetId="0">'2013 - 8760 Load'!#REF!</definedName>
    <definedName name="_Day239_IsWD" localSheetId="0">FALSE</definedName>
    <definedName name="_Day24" localSheetId="0">'2013 - 8760 Load'!#REF!</definedName>
    <definedName name="_Day24_IsWD" localSheetId="0">FALSE</definedName>
    <definedName name="_Day240" localSheetId="0">'2013 - 8760 Load'!#REF!</definedName>
    <definedName name="_Day240_IsWD" localSheetId="0">FALSE</definedName>
    <definedName name="_Day241" localSheetId="0">'2013 - 8760 Load'!#REF!</definedName>
    <definedName name="_Day241_IsWD" localSheetId="0">FALSE</definedName>
    <definedName name="_Day242" localSheetId="0">'2013 - 8760 Load'!#REF!</definedName>
    <definedName name="_Day242_IsWD" localSheetId="0">FALSE</definedName>
    <definedName name="_Day243" localSheetId="0">'2013 - 8760 Load'!#REF!</definedName>
    <definedName name="_Day243_IsWD" localSheetId="0">FALSE</definedName>
    <definedName name="_Day244" localSheetId="0">'2013 - 8760 Load'!#REF!</definedName>
    <definedName name="_Day244_IsWD" localSheetId="0">FALSE</definedName>
    <definedName name="_Day245" localSheetId="0">'2013 - 8760 Load'!#REF!</definedName>
    <definedName name="_Day245_IsWD" localSheetId="0">FALSE</definedName>
    <definedName name="_Day246" localSheetId="0">'2013 - 8760 Load'!#REF!</definedName>
    <definedName name="_Day246_IsWD" localSheetId="0">FALSE</definedName>
    <definedName name="_Day247" localSheetId="0">'2013 - 8760 Load'!#REF!</definedName>
    <definedName name="_Day247_IsWD" localSheetId="0">FALSE</definedName>
    <definedName name="_Day248" localSheetId="0">'2013 - 8760 Load'!#REF!</definedName>
    <definedName name="_Day248_IsWD" localSheetId="0">FALSE</definedName>
    <definedName name="_Day249" localSheetId="0">'2013 - 8760 Load'!#REF!</definedName>
    <definedName name="_Day249_IsWD" localSheetId="0">FALSE</definedName>
    <definedName name="_Day25" localSheetId="0">'2013 - 8760 Load'!#REF!</definedName>
    <definedName name="_Day25_IsWD" localSheetId="0">FALSE</definedName>
    <definedName name="_Day250" localSheetId="0">'2013 - 8760 Load'!#REF!</definedName>
    <definedName name="_Day250_IsWD" localSheetId="0">FALSE</definedName>
    <definedName name="_Day251" localSheetId="0">'2013 - 8760 Load'!#REF!</definedName>
    <definedName name="_Day251_IsWD" localSheetId="0">FALSE</definedName>
    <definedName name="_Day252" localSheetId="0">'2013 - 8760 Load'!#REF!</definedName>
    <definedName name="_Day252_IsWD" localSheetId="0">FALSE</definedName>
    <definedName name="_Day253" localSheetId="0">'2013 - 8760 Load'!#REF!</definedName>
    <definedName name="_Day253_IsWD" localSheetId="0">FALSE</definedName>
    <definedName name="_Day254" localSheetId="0">'2013 - 8760 Load'!#REF!</definedName>
    <definedName name="_Day254_IsWD" localSheetId="0">FALSE</definedName>
    <definedName name="_Day255" localSheetId="0">'2013 - 8760 Load'!#REF!</definedName>
    <definedName name="_Day255_IsWD" localSheetId="0">FALSE</definedName>
    <definedName name="_Day256" localSheetId="0">'2013 - 8760 Load'!#REF!</definedName>
    <definedName name="_Day256_IsWD" localSheetId="0">FALSE</definedName>
    <definedName name="_Day257" localSheetId="0">'2013 - 8760 Load'!#REF!</definedName>
    <definedName name="_Day257_IsWD" localSheetId="0">FALSE</definedName>
    <definedName name="_Day258" localSheetId="0">'2013 - 8760 Load'!#REF!</definedName>
    <definedName name="_Day258_IsWD" localSheetId="0">FALSE</definedName>
    <definedName name="_Day259" localSheetId="0">'2013 - 8760 Load'!#REF!</definedName>
    <definedName name="_Day259_IsWD" localSheetId="0">FALSE</definedName>
    <definedName name="_Day26" localSheetId="0">'2013 - 8760 Load'!#REF!</definedName>
    <definedName name="_Day26_IsWD" localSheetId="0">FALSE</definedName>
    <definedName name="_Day260" localSheetId="0">'2013 - 8760 Load'!#REF!</definedName>
    <definedName name="_Day260_IsWD" localSheetId="0">FALSE</definedName>
    <definedName name="_Day261" localSheetId="0">'2013 - 8760 Load'!#REF!</definedName>
    <definedName name="_Day261_IsWD" localSheetId="0">FALSE</definedName>
    <definedName name="_Day262" localSheetId="0">'2013 - 8760 Load'!#REF!</definedName>
    <definedName name="_Day262_IsWD" localSheetId="0">FALSE</definedName>
    <definedName name="_Day263" localSheetId="0">'2013 - 8760 Load'!#REF!</definedName>
    <definedName name="_Day263_IsWD" localSheetId="0">FALSE</definedName>
    <definedName name="_Day264" localSheetId="0">'2013 - 8760 Load'!#REF!</definedName>
    <definedName name="_Day264_IsWD" localSheetId="0">FALSE</definedName>
    <definedName name="_Day265" localSheetId="0">'2013 - 8760 Load'!#REF!</definedName>
    <definedName name="_Day265_IsWD" localSheetId="0">FALSE</definedName>
    <definedName name="_Day266" localSheetId="0">'2013 - 8760 Load'!#REF!</definedName>
    <definedName name="_Day266_IsWD" localSheetId="0">FALSE</definedName>
    <definedName name="_Day267" localSheetId="0">'2013 - 8760 Load'!#REF!</definedName>
    <definedName name="_Day267_IsWD" localSheetId="0">FALSE</definedName>
    <definedName name="_Day268" localSheetId="0">'2013 - 8760 Load'!#REF!</definedName>
    <definedName name="_Day268_IsWD" localSheetId="0">FALSE</definedName>
    <definedName name="_Day269" localSheetId="0">'2013 - 8760 Load'!#REF!</definedName>
    <definedName name="_Day269_IsWD" localSheetId="0">FALSE</definedName>
    <definedName name="_Day27" localSheetId="0">'2013 - 8760 Load'!#REF!</definedName>
    <definedName name="_Day27_IsWD" localSheetId="0">FALSE</definedName>
    <definedName name="_Day270" localSheetId="0">'2013 - 8760 Load'!#REF!</definedName>
    <definedName name="_Day270_IsWD" localSheetId="0">FALSE</definedName>
    <definedName name="_Day271" localSheetId="0">'2013 - 8760 Load'!#REF!</definedName>
    <definedName name="_Day271_IsWD" localSheetId="0">FALSE</definedName>
    <definedName name="_Day272" localSheetId="0">'2013 - 8760 Load'!#REF!</definedName>
    <definedName name="_Day272_IsWD" localSheetId="0">FALSE</definedName>
    <definedName name="_Day273" localSheetId="0">'2013 - 8760 Load'!#REF!</definedName>
    <definedName name="_Day273_IsWD" localSheetId="0">FALSE</definedName>
    <definedName name="_Day274" localSheetId="0">'2013 - 8760 Load'!#REF!</definedName>
    <definedName name="_Day274_IsWD" localSheetId="0">FALSE</definedName>
    <definedName name="_Day275" localSheetId="0">'2013 - 8760 Load'!#REF!</definedName>
    <definedName name="_Day275_IsWD" localSheetId="0">FALSE</definedName>
    <definedName name="_Day276" localSheetId="0">'2013 - 8760 Load'!#REF!</definedName>
    <definedName name="_Day276_IsWD" localSheetId="0">FALSE</definedName>
    <definedName name="_Day277" localSheetId="0">'2013 - 8760 Load'!#REF!</definedName>
    <definedName name="_Day277_IsWD" localSheetId="0">FALSE</definedName>
    <definedName name="_Day278" localSheetId="0">'2013 - 8760 Load'!#REF!</definedName>
    <definedName name="_Day278_IsWD" localSheetId="0">FALSE</definedName>
    <definedName name="_Day279" localSheetId="0">'2013 - 8760 Load'!#REF!</definedName>
    <definedName name="_Day279_IsWD" localSheetId="0">FALSE</definedName>
    <definedName name="_Day28" localSheetId="0">'2013 - 8760 Load'!#REF!</definedName>
    <definedName name="_Day28_IsWD" localSheetId="0">FALSE</definedName>
    <definedName name="_Day280" localSheetId="0">'2013 - 8760 Load'!#REF!</definedName>
    <definedName name="_Day280_IsWD" localSheetId="0">FALSE</definedName>
    <definedName name="_Day281" localSheetId="0">'2013 - 8760 Load'!#REF!</definedName>
    <definedName name="_Day281_IsWD" localSheetId="0">FALSE</definedName>
    <definedName name="_Day282" localSheetId="0">'2013 - 8760 Load'!#REF!</definedName>
    <definedName name="_Day282_IsWD" localSheetId="0">FALSE</definedName>
    <definedName name="_Day283" localSheetId="0">'2013 - 8760 Load'!#REF!</definedName>
    <definedName name="_Day283_IsWD" localSheetId="0">FALSE</definedName>
    <definedName name="_Day284" localSheetId="0">'2013 - 8760 Load'!#REF!</definedName>
    <definedName name="_Day284_IsWD" localSheetId="0">FALSE</definedName>
    <definedName name="_Day285" localSheetId="0">'2013 - 8760 Load'!#REF!</definedName>
    <definedName name="_Day285_IsWD" localSheetId="0">FALSE</definedName>
    <definedName name="_Day286" localSheetId="0">'2013 - 8760 Load'!#REF!</definedName>
    <definedName name="_Day286_IsWD" localSheetId="0">FALSE</definedName>
    <definedName name="_Day287" localSheetId="0">'2013 - 8760 Load'!#REF!</definedName>
    <definedName name="_Day287_IsWD" localSheetId="0">FALSE</definedName>
    <definedName name="_Day288" localSheetId="0">'2013 - 8760 Load'!#REF!</definedName>
    <definedName name="_Day288_IsWD" localSheetId="0">FALSE</definedName>
    <definedName name="_Day289" localSheetId="0">'2013 - 8760 Load'!#REF!</definedName>
    <definedName name="_Day289_IsWD" localSheetId="0">FALSE</definedName>
    <definedName name="_Day29" localSheetId="0">'2013 - 8760 Load'!#REF!</definedName>
    <definedName name="_Day29_IsWD" localSheetId="0">FALSE</definedName>
    <definedName name="_Day290" localSheetId="0">'2013 - 8760 Load'!#REF!</definedName>
    <definedName name="_Day290_IsWD" localSheetId="0">FALSE</definedName>
    <definedName name="_Day291" localSheetId="0">'2013 - 8760 Load'!#REF!</definedName>
    <definedName name="_Day291_IsWD" localSheetId="0">FALSE</definedName>
    <definedName name="_Day292" localSheetId="0">'2013 - 8760 Load'!#REF!</definedName>
    <definedName name="_Day292_IsWD" localSheetId="0">FALSE</definedName>
    <definedName name="_Day293" localSheetId="0">'2013 - 8760 Load'!#REF!</definedName>
    <definedName name="_Day293_IsWD" localSheetId="0">FALSE</definedName>
    <definedName name="_Day294" localSheetId="0">'2013 - 8760 Load'!#REF!</definedName>
    <definedName name="_Day294_IsWD" localSheetId="0">FALSE</definedName>
    <definedName name="_Day295" localSheetId="0">'2013 - 8760 Load'!#REF!</definedName>
    <definedName name="_Day295_IsWD" localSheetId="0">FALSE</definedName>
    <definedName name="_Day296" localSheetId="0">'2013 - 8760 Load'!#REF!</definedName>
    <definedName name="_Day296_IsWD" localSheetId="0">FALSE</definedName>
    <definedName name="_Day297" localSheetId="0">'2013 - 8760 Load'!#REF!</definedName>
    <definedName name="_Day297_IsWD" localSheetId="0">FALSE</definedName>
    <definedName name="_Day298" localSheetId="0">'2013 - 8760 Load'!#REF!</definedName>
    <definedName name="_Day298_IsWD" localSheetId="0">FALSE</definedName>
    <definedName name="_Day299" localSheetId="0">'2013 - 8760 Load'!#REF!</definedName>
    <definedName name="_Day299_IsWD" localSheetId="0">FALSE</definedName>
    <definedName name="_Day3" localSheetId="0">'2013 - 8760 Load'!#REF!</definedName>
    <definedName name="_Day3_IsWD" localSheetId="0">FALSE</definedName>
    <definedName name="_Day30" localSheetId="0">'2013 - 8760 Load'!#REF!</definedName>
    <definedName name="_Day30_IsWD" localSheetId="0">FALSE</definedName>
    <definedName name="_Day300" localSheetId="0">'2013 - 8760 Load'!#REF!</definedName>
    <definedName name="_Day300_IsWD" localSheetId="0">FALSE</definedName>
    <definedName name="_Day301" localSheetId="0">'2013 - 8760 Load'!#REF!</definedName>
    <definedName name="_Day301_IsWD" localSheetId="0">FALSE</definedName>
    <definedName name="_Day302" localSheetId="0">'2013 - 8760 Load'!#REF!</definedName>
    <definedName name="_Day302_IsWD" localSheetId="0">FALSE</definedName>
    <definedName name="_Day303" localSheetId="0">'2013 - 8760 Load'!#REF!</definedName>
    <definedName name="_Day303_IsWD" localSheetId="0">FALSE</definedName>
    <definedName name="_Day304" localSheetId="0">'2013 - 8760 Load'!#REF!</definedName>
    <definedName name="_Day304_IsWD" localSheetId="0">FALSE</definedName>
    <definedName name="_Day305" localSheetId="0">'2013 - 8760 Load'!#REF!</definedName>
    <definedName name="_Day305_IsWD" localSheetId="0">FALSE</definedName>
    <definedName name="_Day306" localSheetId="0">'2013 - 8760 Load'!#REF!</definedName>
    <definedName name="_Day306_IsWD" localSheetId="0">FALSE</definedName>
    <definedName name="_Day307" localSheetId="0">'2013 - 8760 Load'!#REF!</definedName>
    <definedName name="_Day307_IsWD" localSheetId="0">FALSE</definedName>
    <definedName name="_Day308" localSheetId="0">'2013 - 8760 Load'!#REF!</definedName>
    <definedName name="_Day308_IsWD" localSheetId="0">FALSE</definedName>
    <definedName name="_Day309" localSheetId="0">'2013 - 8760 Load'!#REF!</definedName>
    <definedName name="_Day309_IsWD" localSheetId="0">FALSE</definedName>
    <definedName name="_Day31" localSheetId="0">'2013 - 8760 Load'!#REF!</definedName>
    <definedName name="_Day31_IsWD" localSheetId="0">FALSE</definedName>
    <definedName name="_Day310" localSheetId="0">'2013 - 8760 Load'!#REF!</definedName>
    <definedName name="_Day310_IsWD" localSheetId="0">FALSE</definedName>
    <definedName name="_Day311" localSheetId="0">'2013 - 8760 Load'!#REF!</definedName>
    <definedName name="_Day311_IsWD" localSheetId="0">FALSE</definedName>
    <definedName name="_Day312" localSheetId="0">'2013 - 8760 Load'!#REF!</definedName>
    <definedName name="_Day312_IsWD" localSheetId="0">FALSE</definedName>
    <definedName name="_Day313" localSheetId="0">'2013 - 8760 Load'!#REF!</definedName>
    <definedName name="_Day313_IsWD" localSheetId="0">FALSE</definedName>
    <definedName name="_Day314" localSheetId="0">'2013 - 8760 Load'!#REF!</definedName>
    <definedName name="_Day314_IsWD" localSheetId="0">FALSE</definedName>
    <definedName name="_Day315" localSheetId="0">'2013 - 8760 Load'!#REF!</definedName>
    <definedName name="_Day315_IsWD" localSheetId="0">FALSE</definedName>
    <definedName name="_Day316" localSheetId="0">'2013 - 8760 Load'!#REF!</definedName>
    <definedName name="_Day316_IsWD" localSheetId="0">FALSE</definedName>
    <definedName name="_Day317" localSheetId="0">'2013 - 8760 Load'!#REF!</definedName>
    <definedName name="_Day317_IsWD" localSheetId="0">FALSE</definedName>
    <definedName name="_Day318" localSheetId="0">'2013 - 8760 Load'!#REF!</definedName>
    <definedName name="_Day318_IsWD" localSheetId="0">FALSE</definedName>
    <definedName name="_Day319" localSheetId="0">'2013 - 8760 Load'!#REF!</definedName>
    <definedName name="_Day319_IsWD" localSheetId="0">FALSE</definedName>
    <definedName name="_Day32" localSheetId="0">'2013 - 8760 Load'!#REF!</definedName>
    <definedName name="_Day32_IsWD" localSheetId="0">FALSE</definedName>
    <definedName name="_Day320" localSheetId="0">'2013 - 8760 Load'!#REF!</definedName>
    <definedName name="_Day320_IsWD" localSheetId="0">FALSE</definedName>
    <definedName name="_Day321" localSheetId="0">'2013 - 8760 Load'!#REF!</definedName>
    <definedName name="_Day321_IsWD" localSheetId="0">FALSE</definedName>
    <definedName name="_Day322" localSheetId="0">'2013 - 8760 Load'!#REF!</definedName>
    <definedName name="_Day322_IsWD" localSheetId="0">FALSE</definedName>
    <definedName name="_Day323" localSheetId="0">'2013 - 8760 Load'!#REF!</definedName>
    <definedName name="_Day323_IsWD" localSheetId="0">FALSE</definedName>
    <definedName name="_Day324" localSheetId="0">'2013 - 8760 Load'!#REF!</definedName>
    <definedName name="_Day324_IsWD" localSheetId="0">FALSE</definedName>
    <definedName name="_Day325" localSheetId="0">'2013 - 8760 Load'!#REF!</definedName>
    <definedName name="_Day325_IsWD" localSheetId="0">FALSE</definedName>
    <definedName name="_Day326" localSheetId="0">'2013 - 8760 Load'!#REF!</definedName>
    <definedName name="_Day326_IsWD" localSheetId="0">FALSE</definedName>
    <definedName name="_Day327" localSheetId="0">'2013 - 8760 Load'!#REF!</definedName>
    <definedName name="_Day327_IsWD" localSheetId="0">FALSE</definedName>
    <definedName name="_Day328" localSheetId="0">'2013 - 8760 Load'!#REF!</definedName>
    <definedName name="_Day328_IsWD" localSheetId="0">FALSE</definedName>
    <definedName name="_Day329" localSheetId="0">'2013 - 8760 Load'!#REF!</definedName>
    <definedName name="_Day329_IsWD" localSheetId="0">FALSE</definedName>
    <definedName name="_Day33" localSheetId="0">'2013 - 8760 Load'!#REF!</definedName>
    <definedName name="_Day33_IsWD" localSheetId="0">FALSE</definedName>
    <definedName name="_Day330" localSheetId="0">'2013 - 8760 Load'!#REF!</definedName>
    <definedName name="_Day330_IsWD" localSheetId="0">FALSE</definedName>
    <definedName name="_Day331" localSheetId="0">'2013 - 8760 Load'!#REF!</definedName>
    <definedName name="_Day331_IsWD" localSheetId="0">FALSE</definedName>
    <definedName name="_Day332" localSheetId="0">'2013 - 8760 Load'!#REF!</definedName>
    <definedName name="_Day332_IsWD" localSheetId="0">FALSE</definedName>
    <definedName name="_Day333" localSheetId="0">'2013 - 8760 Load'!#REF!</definedName>
    <definedName name="_Day333_IsWD" localSheetId="0">FALSE</definedName>
    <definedName name="_Day334" localSheetId="0">'2013 - 8760 Load'!#REF!</definedName>
    <definedName name="_Day334_IsWD" localSheetId="0">FALSE</definedName>
    <definedName name="_Day335" localSheetId="0">'2013 - 8760 Load'!#REF!</definedName>
    <definedName name="_Day335_IsWD" localSheetId="0">FALSE</definedName>
    <definedName name="_Day336" localSheetId="0">'2013 - 8760 Load'!#REF!</definedName>
    <definedName name="_Day336_IsWD" localSheetId="0">FALSE</definedName>
    <definedName name="_Day337" localSheetId="0">'2013 - 8760 Load'!#REF!</definedName>
    <definedName name="_Day337_IsWD" localSheetId="0">FALSE</definedName>
    <definedName name="_Day338" localSheetId="0">'2013 - 8760 Load'!#REF!</definedName>
    <definedName name="_Day338_IsWD" localSheetId="0">FALSE</definedName>
    <definedName name="_Day339" localSheetId="0">'2013 - 8760 Load'!#REF!</definedName>
    <definedName name="_Day339_IsWD" localSheetId="0">FALSE</definedName>
    <definedName name="_Day34" localSheetId="0">'2013 - 8760 Load'!#REF!</definedName>
    <definedName name="_Day34_IsWD" localSheetId="0">FALSE</definedName>
    <definedName name="_Day340" localSheetId="0">'2013 - 8760 Load'!#REF!</definedName>
    <definedName name="_Day340_IsWD" localSheetId="0">FALSE</definedName>
    <definedName name="_Day341" localSheetId="0">'2013 - 8760 Load'!#REF!</definedName>
    <definedName name="_Day341_IsWD" localSheetId="0">FALSE</definedName>
    <definedName name="_Day342" localSheetId="0">'2013 - 8760 Load'!#REF!</definedName>
    <definedName name="_Day342_IsWD" localSheetId="0">FALSE</definedName>
    <definedName name="_Day343" localSheetId="0">'2013 - 8760 Load'!#REF!</definedName>
    <definedName name="_Day343_IsWD" localSheetId="0">FALSE</definedName>
    <definedName name="_Day344" localSheetId="0">'2013 - 8760 Load'!#REF!</definedName>
    <definedName name="_Day344_IsWD" localSheetId="0">FALSE</definedName>
    <definedName name="_Day345" localSheetId="0">'2013 - 8760 Load'!#REF!</definedName>
    <definedName name="_Day345_IsWD" localSheetId="0">FALSE</definedName>
    <definedName name="_Day346" localSheetId="0">'2013 - 8760 Load'!#REF!</definedName>
    <definedName name="_Day346_IsWD" localSheetId="0">FALSE</definedName>
    <definedName name="_Day347" localSheetId="0">'2013 - 8760 Load'!#REF!</definedName>
    <definedName name="_Day347_IsWD" localSheetId="0">FALSE</definedName>
    <definedName name="_Day348" localSheetId="0">'2013 - 8760 Load'!#REF!</definedName>
    <definedName name="_Day348_IsWD" localSheetId="0">FALSE</definedName>
    <definedName name="_Day349" localSheetId="0">'2013 - 8760 Load'!#REF!</definedName>
    <definedName name="_Day349_IsWD" localSheetId="0">FALSE</definedName>
    <definedName name="_Day35" localSheetId="0">'2013 - 8760 Load'!#REF!</definedName>
    <definedName name="_Day35_IsWD" localSheetId="0">FALSE</definedName>
    <definedName name="_Day350" localSheetId="0">'2013 - 8760 Load'!#REF!</definedName>
    <definedName name="_Day350_IsWD" localSheetId="0">FALSE</definedName>
    <definedName name="_Day351" localSheetId="0">'2013 - 8760 Load'!#REF!</definedName>
    <definedName name="_Day351_IsWD" localSheetId="0">FALSE</definedName>
    <definedName name="_Day352" localSheetId="0">'2013 - 8760 Load'!#REF!</definedName>
    <definedName name="_Day352_IsWD" localSheetId="0">FALSE</definedName>
    <definedName name="_Day353" localSheetId="0">'2013 - 8760 Load'!#REF!</definedName>
    <definedName name="_Day353_IsWD" localSheetId="0">FALSE</definedName>
    <definedName name="_Day354" localSheetId="0">'2013 - 8760 Load'!#REF!</definedName>
    <definedName name="_Day354_IsWD" localSheetId="0">FALSE</definedName>
    <definedName name="_Day355" localSheetId="0">'2013 - 8760 Load'!#REF!</definedName>
    <definedName name="_Day355_IsWD" localSheetId="0">FALSE</definedName>
    <definedName name="_Day356" localSheetId="0">'2013 - 8760 Load'!#REF!</definedName>
    <definedName name="_Day356_IsWD" localSheetId="0">FALSE</definedName>
    <definedName name="_Day357" localSheetId="0">'2013 - 8760 Load'!#REF!</definedName>
    <definedName name="_Day357_IsWD" localSheetId="0">FALSE</definedName>
    <definedName name="_Day358" localSheetId="0">'2013 - 8760 Load'!#REF!</definedName>
    <definedName name="_Day358_IsWD" localSheetId="0">FALSE</definedName>
    <definedName name="_Day359" localSheetId="0">'2013 - 8760 Load'!#REF!</definedName>
    <definedName name="_Day359_IsWD" localSheetId="0">FALSE</definedName>
    <definedName name="_Day36" localSheetId="0">'2013 - 8760 Load'!#REF!</definedName>
    <definedName name="_Day36_IsWD" localSheetId="0">FALSE</definedName>
    <definedName name="_Day360" localSheetId="0">'2013 - 8760 Load'!#REF!</definedName>
    <definedName name="_Day360_IsWD" localSheetId="0">FALSE</definedName>
    <definedName name="_Day361" localSheetId="0">'2013 - 8760 Load'!#REF!</definedName>
    <definedName name="_Day361_IsWD" localSheetId="0">FALSE</definedName>
    <definedName name="_Day362" localSheetId="0">'2013 - 8760 Load'!#REF!</definedName>
    <definedName name="_Day362_IsWD" localSheetId="0">FALSE</definedName>
    <definedName name="_Day363" localSheetId="0">'2013 - 8760 Load'!#REF!</definedName>
    <definedName name="_Day363_IsWD" localSheetId="0">FALSE</definedName>
    <definedName name="_Day364" localSheetId="0">'2013 - 8760 Load'!#REF!</definedName>
    <definedName name="_Day364_IsWD" localSheetId="0">FALSE</definedName>
    <definedName name="_Day365" localSheetId="0">'2013 - 8760 Load'!#REF!</definedName>
    <definedName name="_Day365_IsWD" localSheetId="0">FALSE</definedName>
    <definedName name="_Day366" localSheetId="0">'2013 - 8760 Load'!#REF!</definedName>
    <definedName name="_Day366_IsWD" localSheetId="0">FALSE</definedName>
    <definedName name="_Day367" localSheetId="0">'2013 - 8760 Load'!$C$8:$Z$8</definedName>
    <definedName name="_Day367_IsWD" localSheetId="0">FALSE</definedName>
    <definedName name="_Day368" localSheetId="0">'2013 - 8760 Load'!$C$9:$Z$9</definedName>
    <definedName name="_Day368_IsWD" localSheetId="0">TRUE</definedName>
    <definedName name="_Day369" localSheetId="0">'2013 - 8760 Load'!$C$10:$Z$10</definedName>
    <definedName name="_Day369_IsWD" localSheetId="0">TRUE</definedName>
    <definedName name="_Day37" localSheetId="0">'2013 - 8760 Load'!#REF!</definedName>
    <definedName name="_Day37_IsWD" localSheetId="0">FALSE</definedName>
    <definedName name="_Day370" localSheetId="0">'2013 - 8760 Load'!$C$11:$Z$11</definedName>
    <definedName name="_Day370_IsWD" localSheetId="0">TRUE</definedName>
    <definedName name="_Day371" localSheetId="0">'2013 - 8760 Load'!$C$12:$Z$12</definedName>
    <definedName name="_Day371_IsWD" localSheetId="0">FALSE</definedName>
    <definedName name="_Day372" localSheetId="0">'2013 - 8760 Load'!$C$13:$Z$13</definedName>
    <definedName name="_Day372_IsWD" localSheetId="0">FALSE</definedName>
    <definedName name="_Day373" localSheetId="0">'2013 - 8760 Load'!$C$14:$Z$14</definedName>
    <definedName name="_Day373_IsWD" localSheetId="0">TRUE</definedName>
    <definedName name="_Day374" localSheetId="0">'2013 - 8760 Load'!$C$15:$Z$15</definedName>
    <definedName name="_Day374_IsWD" localSheetId="0">TRUE</definedName>
    <definedName name="_Day375" localSheetId="0">'2013 - 8760 Load'!$C$16:$Z$16</definedName>
    <definedName name="_Day375_IsWD" localSheetId="0">TRUE</definedName>
    <definedName name="_Day376" localSheetId="0">'2013 - 8760 Load'!$C$17:$Z$17</definedName>
    <definedName name="_Day376_IsWD" localSheetId="0">TRUE</definedName>
    <definedName name="_Day377" localSheetId="0">'2013 - 8760 Load'!$C$18:$Z$18</definedName>
    <definedName name="_Day377_IsWD" localSheetId="0">TRUE</definedName>
    <definedName name="_Day378" localSheetId="0">'2013 - 8760 Load'!$C$19:$Z$19</definedName>
    <definedName name="_Day378_IsWD" localSheetId="0">FALSE</definedName>
    <definedName name="_Day379" localSheetId="0">'2013 - 8760 Load'!$C$20:$Z$20</definedName>
    <definedName name="_Day379_IsWD" localSheetId="0">FALSE</definedName>
    <definedName name="_Day38" localSheetId="0">'2013 - 8760 Load'!#REF!</definedName>
    <definedName name="_Day38_IsWD" localSheetId="0">FALSE</definedName>
    <definedName name="_Day380" localSheetId="0">'2013 - 8760 Load'!$C$21:$Z$21</definedName>
    <definedName name="_Day380_IsWD" localSheetId="0">TRUE</definedName>
    <definedName name="_Day381" localSheetId="0">'2013 - 8760 Load'!$C$22:$Z$22</definedName>
    <definedName name="_Day381_IsWD" localSheetId="0">TRUE</definedName>
    <definedName name="_Day382" localSheetId="0">'2013 - 8760 Load'!$C$23:$Z$23</definedName>
    <definedName name="_Day382_IsWD" localSheetId="0">TRUE</definedName>
    <definedName name="_Day383" localSheetId="0">'2013 - 8760 Load'!$C$24:$Z$24</definedName>
    <definedName name="_Day383_IsWD" localSheetId="0">TRUE</definedName>
    <definedName name="_Day384" localSheetId="0">'2013 - 8760 Load'!$C$25:$Z$25</definedName>
    <definedName name="_Day384_IsWD" localSheetId="0">TRUE</definedName>
    <definedName name="_Day385" localSheetId="0">'2013 - 8760 Load'!$C$26:$Z$26</definedName>
    <definedName name="_Day385_IsWD" localSheetId="0">FALSE</definedName>
    <definedName name="_Day386" localSheetId="0">'2013 - 8760 Load'!$C$27:$Z$27</definedName>
    <definedName name="_Day386_IsWD" localSheetId="0">FALSE</definedName>
    <definedName name="_Day387" localSheetId="0">'2013 - 8760 Load'!$C$28:$Z$28</definedName>
    <definedName name="_Day387_IsWD" localSheetId="0">FALSE</definedName>
    <definedName name="_Day388" localSheetId="0">'2013 - 8760 Load'!$C$29:$Z$29</definedName>
    <definedName name="_Day388_IsWD" localSheetId="0">TRUE</definedName>
    <definedName name="_Day389" localSheetId="0">'2013 - 8760 Load'!$C$30:$Z$30</definedName>
    <definedName name="_Day389_IsWD" localSheetId="0">TRUE</definedName>
    <definedName name="_Day39" localSheetId="0">'2013 - 8760 Load'!#REF!</definedName>
    <definedName name="_Day39_IsWD" localSheetId="0">FALSE</definedName>
    <definedName name="_Day390" localSheetId="0">'2013 - 8760 Load'!$C$31:$Z$31</definedName>
    <definedName name="_Day390_IsWD" localSheetId="0">TRUE</definedName>
    <definedName name="_Day391" localSheetId="0">'2013 - 8760 Load'!$C$32:$Z$32</definedName>
    <definedName name="_Day391_IsWD" localSheetId="0">TRUE</definedName>
    <definedName name="_Day392" localSheetId="0">'2013 - 8760 Load'!$C$33:$Z$33</definedName>
    <definedName name="_Day392_IsWD" localSheetId="0">FALSE</definedName>
    <definedName name="_Day393" localSheetId="0">'2013 - 8760 Load'!$C$34:$Z$34</definedName>
    <definedName name="_Day393_IsWD" localSheetId="0">FALSE</definedName>
    <definedName name="_Day394" localSheetId="0">'2013 - 8760 Load'!$C$35:$Z$35</definedName>
    <definedName name="_Day394_IsWD" localSheetId="0">TRUE</definedName>
    <definedName name="_Day395" localSheetId="0">'2013 - 8760 Load'!$C$36:$Z$36</definedName>
    <definedName name="_Day395_IsWD" localSheetId="0">TRUE</definedName>
    <definedName name="_Day396" localSheetId="0">'2013 - 8760 Load'!$C$37:$Z$37</definedName>
    <definedName name="_Day396_IsWD" localSheetId="0">TRUE</definedName>
    <definedName name="_Day397" localSheetId="0">'2013 - 8760 Load'!$C$38:$Z$38</definedName>
    <definedName name="_Day397_IsWD" localSheetId="0">TRUE</definedName>
    <definedName name="_Day398" localSheetId="0">'2013 - 8760 Load'!$C$39:$Z$39</definedName>
    <definedName name="_Day398_IsWD" localSheetId="0">TRUE</definedName>
    <definedName name="_Day399" localSheetId="0">'2013 - 8760 Load'!$C$40:$Z$40</definedName>
    <definedName name="_Day399_IsWD" localSheetId="0">FALSE</definedName>
    <definedName name="_Day4" localSheetId="0">'2013 - 8760 Load'!#REF!</definedName>
    <definedName name="_Day4_IsWD" localSheetId="0">FALSE</definedName>
    <definedName name="_Day40" localSheetId="0">'2013 - 8760 Load'!#REF!</definedName>
    <definedName name="_Day40_IsWD" localSheetId="0">FALSE</definedName>
    <definedName name="_Day400" localSheetId="0">'2013 - 8760 Load'!$C$41:$Z$41</definedName>
    <definedName name="_Day400_IsWD" localSheetId="0">FALSE</definedName>
    <definedName name="_Day401" localSheetId="0">'2013 - 8760 Load'!$C$42:$Z$42</definedName>
    <definedName name="_Day401_IsWD" localSheetId="0">TRUE</definedName>
    <definedName name="_Day402" localSheetId="0">'2013 - 8760 Load'!$C$43:$Z$43</definedName>
    <definedName name="_Day402_IsWD" localSheetId="0">TRUE</definedName>
    <definedName name="_Day403" localSheetId="0">'2013 - 8760 Load'!$C$44:$Z$44</definedName>
    <definedName name="_Day403_IsWD" localSheetId="0">TRUE</definedName>
    <definedName name="_Day404" localSheetId="0">'2013 - 8760 Load'!$C$45:$Z$45</definedName>
    <definedName name="_Day404_IsWD" localSheetId="0">TRUE</definedName>
    <definedName name="_Day405" localSheetId="0">'2013 - 8760 Load'!$C$46:$Z$46</definedName>
    <definedName name="_Day405_IsWD" localSheetId="0">TRUE</definedName>
    <definedName name="_Day406" localSheetId="0">'2013 - 8760 Load'!$C$47:$Z$47</definedName>
    <definedName name="_Day406_IsWD" localSheetId="0">FALSE</definedName>
    <definedName name="_Day407" localSheetId="0">'2013 - 8760 Load'!$C$48:$Z$48</definedName>
    <definedName name="_Day407_IsWD" localSheetId="0">FALSE</definedName>
    <definedName name="_Day408" localSheetId="0">'2013 - 8760 Load'!$C$49:$Z$49</definedName>
    <definedName name="_Day408_IsWD" localSheetId="0">TRUE</definedName>
    <definedName name="_Day409" localSheetId="0">'2013 - 8760 Load'!$C$50:$Z$50</definedName>
    <definedName name="_Day409_IsWD" localSheetId="0">TRUE</definedName>
    <definedName name="_Day41" localSheetId="0">'2013 - 8760 Load'!#REF!</definedName>
    <definedName name="_Day41_IsWD" localSheetId="0">FALSE</definedName>
    <definedName name="_Day410" localSheetId="0">'2013 - 8760 Load'!$C$51:$Z$51</definedName>
    <definedName name="_Day410_IsWD" localSheetId="0">TRUE</definedName>
    <definedName name="_Day411" localSheetId="0">'2013 - 8760 Load'!$C$52:$Z$52</definedName>
    <definedName name="_Day411_IsWD" localSheetId="0">TRUE</definedName>
    <definedName name="_Day412" localSheetId="0">'2013 - 8760 Load'!$C$53:$Z$53</definedName>
    <definedName name="_Day412_IsWD" localSheetId="0">TRUE</definedName>
    <definedName name="_Day413" localSheetId="0">'2013 - 8760 Load'!$C$54:$Z$54</definedName>
    <definedName name="_Day413_IsWD" localSheetId="0">FALSE</definedName>
    <definedName name="_Day414" localSheetId="0">'2013 - 8760 Load'!$C$55:$Z$55</definedName>
    <definedName name="_Day414_IsWD" localSheetId="0">FALSE</definedName>
    <definedName name="_Day415" localSheetId="0">'2013 - 8760 Load'!$C$56:$Z$56</definedName>
    <definedName name="_Day415_IsWD" localSheetId="0">FALSE</definedName>
    <definedName name="_Day416" localSheetId="0">'2013 - 8760 Load'!$C$57:$Z$57</definedName>
    <definedName name="_Day416_IsWD" localSheetId="0">TRUE</definedName>
    <definedName name="_Day417" localSheetId="0">'2013 - 8760 Load'!$C$58:$Z$58</definedName>
    <definedName name="_Day417_IsWD" localSheetId="0">TRUE</definedName>
    <definedName name="_Day418" localSheetId="0">'2013 - 8760 Load'!$C$59:$Z$59</definedName>
    <definedName name="_Day418_IsWD" localSheetId="0">TRUE</definedName>
    <definedName name="_Day419" localSheetId="0">'2013 - 8760 Load'!$C$60:$Z$60</definedName>
    <definedName name="_Day419_IsWD" localSheetId="0">TRUE</definedName>
    <definedName name="_Day42" localSheetId="0">'2013 - 8760 Load'!#REF!</definedName>
    <definedName name="_Day42_IsWD" localSheetId="0">FALSE</definedName>
    <definedName name="_Day420" localSheetId="0">'2013 - 8760 Load'!$C$61:$Z$61</definedName>
    <definedName name="_Day420_IsWD" localSheetId="0">FALSE</definedName>
    <definedName name="_Day421" localSheetId="0">'2013 - 8760 Load'!$C$62:$Z$62</definedName>
    <definedName name="_Day421_IsWD" localSheetId="0">FALSE</definedName>
    <definedName name="_Day422" localSheetId="0">'2013 - 8760 Load'!$C$63:$Z$63</definedName>
    <definedName name="_Day422_IsWD" localSheetId="0">TRUE</definedName>
    <definedName name="_Day423" localSheetId="0">'2013 - 8760 Load'!$C$64:$Z$64</definedName>
    <definedName name="_Day423_IsWD" localSheetId="0">TRUE</definedName>
    <definedName name="_Day424" localSheetId="0">'2013 - 8760 Load'!$C$65:$Z$65</definedName>
    <definedName name="_Day424_IsWD" localSheetId="0">TRUE</definedName>
    <definedName name="_Day425" localSheetId="0">'2013 - 8760 Load'!$C$66:$Z$66</definedName>
    <definedName name="_Day425_IsWD" localSheetId="0">TRUE</definedName>
    <definedName name="_Day426" localSheetId="0">'2013 - 8760 Load'!$C$67:$Z$67</definedName>
    <definedName name="_Day426_IsWD" localSheetId="0">TRUE</definedName>
    <definedName name="_Day427" localSheetId="0">'2013 - 8760 Load'!$C$68:$Z$68</definedName>
    <definedName name="_Day427_IsWD" localSheetId="0">FALSE</definedName>
    <definedName name="_Day428" localSheetId="0">'2013 - 8760 Load'!$C$69:$Z$69</definedName>
    <definedName name="_Day428_IsWD" localSheetId="0">FALSE</definedName>
    <definedName name="_Day429" localSheetId="0">'2013 - 8760 Load'!$C$70:$Z$70</definedName>
    <definedName name="_Day429_IsWD" localSheetId="0">TRUE</definedName>
    <definedName name="_Day43" localSheetId="0">'2013 - 8760 Load'!#REF!</definedName>
    <definedName name="_Day43_IsWD" localSheetId="0">FALSE</definedName>
    <definedName name="_Day430" localSheetId="0">'2013 - 8760 Load'!$C$71:$Z$71</definedName>
    <definedName name="_Day430_IsWD" localSheetId="0">TRUE</definedName>
    <definedName name="_Day431" localSheetId="0">'2013 - 8760 Load'!$C$72:$Z$72</definedName>
    <definedName name="_Day431_IsWD" localSheetId="0">TRUE</definedName>
    <definedName name="_Day432" localSheetId="0">'2013 - 8760 Load'!$C$73:$Z$73</definedName>
    <definedName name="_Day432_IsWD" localSheetId="0">TRUE</definedName>
    <definedName name="_Day433" localSheetId="0">'2013 - 8760 Load'!$C$74:$Z$74</definedName>
    <definedName name="_Day433_IsWD" localSheetId="0">TRUE</definedName>
    <definedName name="_Day434" localSheetId="0">'2013 - 8760 Load'!$C$75:$Z$75</definedName>
    <definedName name="_Day434_IsWD" localSheetId="0">FALSE</definedName>
    <definedName name="_Day435" localSheetId="0">'2013 - 8760 Load'!$C$76:$Z$76</definedName>
    <definedName name="_Day435_IsWD" localSheetId="0">FALSE</definedName>
    <definedName name="_Day436" localSheetId="0">'2013 - 8760 Load'!$C$77:$Z$77</definedName>
    <definedName name="_Day436_IsWD" localSheetId="0">TRUE</definedName>
    <definedName name="_Day437" localSheetId="0">'2013 - 8760 Load'!$C$78:$Z$78</definedName>
    <definedName name="_Day437_IsWD" localSheetId="0">TRUE</definedName>
    <definedName name="_Day438" localSheetId="0">'2013 - 8760 Load'!$C$79:$Z$79</definedName>
    <definedName name="_Day438_IsWD" localSheetId="0">TRUE</definedName>
    <definedName name="_Day439" localSheetId="0">'2013 - 8760 Load'!$C$80:$Z$80</definedName>
    <definedName name="_Day439_IsWD" localSheetId="0">TRUE</definedName>
    <definedName name="_Day44" localSheetId="0">'2013 - 8760 Load'!#REF!</definedName>
    <definedName name="_Day44_IsWD" localSheetId="0">FALSE</definedName>
    <definedName name="_Day440" localSheetId="0">'2013 - 8760 Load'!$C$81:$Z$81</definedName>
    <definedName name="_Day440_IsWD" localSheetId="0">TRUE</definedName>
    <definedName name="_Day441" localSheetId="0">'2013 - 8760 Load'!$C$82:$Z$82</definedName>
    <definedName name="_Day441_IsWD" localSheetId="0">FALSE</definedName>
    <definedName name="_Day442" localSheetId="0">'2013 - 8760 Load'!$C$83:$Z$83</definedName>
    <definedName name="_Day442_IsWD" localSheetId="0">FALSE</definedName>
    <definedName name="_Day443" localSheetId="0">'2013 - 8760 Load'!$C$84:$Z$84</definedName>
    <definedName name="_Day443_IsWD" localSheetId="0">TRUE</definedName>
    <definedName name="_Day444" localSheetId="0">'2013 - 8760 Load'!$C$85:$Z$85</definedName>
    <definedName name="_Day444_IsWD" localSheetId="0">TRUE</definedName>
    <definedName name="_Day445" localSheetId="0">'2013 - 8760 Load'!$C$86:$Z$86</definedName>
    <definedName name="_Day445_IsWD" localSheetId="0">TRUE</definedName>
    <definedName name="_Day446" localSheetId="0">'2013 - 8760 Load'!$C$87:$Z$87</definedName>
    <definedName name="_Day446_IsWD" localSheetId="0">TRUE</definedName>
    <definedName name="_Day447" localSheetId="0">'2013 - 8760 Load'!$C$88:$Z$88</definedName>
    <definedName name="_Day447_IsWD" localSheetId="0">TRUE</definedName>
    <definedName name="_Day448" localSheetId="0">'2013 - 8760 Load'!$C$89:$Z$89</definedName>
    <definedName name="_Day448_IsWD" localSheetId="0">FALSE</definedName>
    <definedName name="_Day449" localSheetId="0">'2013 - 8760 Load'!$C$90:$Z$90</definedName>
    <definedName name="_Day449_IsWD" localSheetId="0">FALSE</definedName>
    <definedName name="_Day45" localSheetId="0">'2013 - 8760 Load'!#REF!</definedName>
    <definedName name="_Day45_IsWD" localSheetId="0">FALSE</definedName>
    <definedName name="_Day450" localSheetId="0">'2013 - 8760 Load'!$C$91:$Z$91</definedName>
    <definedName name="_Day450_IsWD" localSheetId="0">TRUE</definedName>
    <definedName name="_Day451" localSheetId="0">'2013 - 8760 Load'!$C$92:$Z$92</definedName>
    <definedName name="_Day451_IsWD" localSheetId="0">TRUE</definedName>
    <definedName name="_Day452" localSheetId="0">'2013 - 8760 Load'!$C$93:$Z$93</definedName>
    <definedName name="_Day452_IsWD" localSheetId="0">TRUE</definedName>
    <definedName name="_Day453" localSheetId="0">'2013 - 8760 Load'!$C$94:$Z$94</definedName>
    <definedName name="_Day453_IsWD" localSheetId="0">TRUE</definedName>
    <definedName name="_Day454" localSheetId="0">'2013 - 8760 Load'!$C$95:$Z$95</definedName>
    <definedName name="_Day454_IsWD" localSheetId="0">TRUE</definedName>
    <definedName name="_Day455" localSheetId="0">'2013 - 8760 Load'!$C$96:$Z$96</definedName>
    <definedName name="_Day455_IsWD" localSheetId="0">FALSE</definedName>
    <definedName name="_Day456" localSheetId="0">'2013 - 8760 Load'!$C$97:$Z$97</definedName>
    <definedName name="_Day456_IsWD" localSheetId="0">FALSE</definedName>
    <definedName name="_Day457" localSheetId="0">'2013 - 8760 Load'!$C$98:$Z$98</definedName>
    <definedName name="_Day457_IsWD" localSheetId="0">TRUE</definedName>
    <definedName name="_Day458" localSheetId="0">'2013 - 8760 Load'!$C$99:$Z$99</definedName>
    <definedName name="_Day458_IsWD" localSheetId="0">TRUE</definedName>
    <definedName name="_Day459" localSheetId="0">'2013 - 8760 Load'!$C$100:$Z$100</definedName>
    <definedName name="_Day459_IsWD" localSheetId="0">TRUE</definedName>
    <definedName name="_Day46" localSheetId="0">'2013 - 8760 Load'!#REF!</definedName>
    <definedName name="_Day46_IsWD" localSheetId="0">FALSE</definedName>
    <definedName name="_Day460" localSheetId="0">'2013 - 8760 Load'!$C$101:$Z$101</definedName>
    <definedName name="_Day460_IsWD" localSheetId="0">TRUE</definedName>
    <definedName name="_Day461" localSheetId="0">'2013 - 8760 Load'!$C$102:$Z$102</definedName>
    <definedName name="_Day461_IsWD" localSheetId="0">TRUE</definedName>
    <definedName name="_Day462" localSheetId="0">'2013 - 8760 Load'!$C$103:$Z$103</definedName>
    <definedName name="_Day462_IsWD" localSheetId="0">FALSE</definedName>
    <definedName name="_Day463" localSheetId="0">'2013 - 8760 Load'!$C$104:$Z$104</definedName>
    <definedName name="_Day463_IsWD" localSheetId="0">FALSE</definedName>
    <definedName name="_Day464" localSheetId="0">'2013 - 8760 Load'!$C$105:$Z$105</definedName>
    <definedName name="_Day464_IsWD" localSheetId="0">TRUE</definedName>
    <definedName name="_Day465" localSheetId="0">'2013 - 8760 Load'!$C$106:$Z$106</definedName>
    <definedName name="_Day465_IsWD" localSheetId="0">TRUE</definedName>
    <definedName name="_Day466" localSheetId="0">'2013 - 8760 Load'!$C$107:$Z$107</definedName>
    <definedName name="_Day466_IsWD" localSheetId="0">TRUE</definedName>
    <definedName name="_Day467" localSheetId="0">'2013 - 8760 Load'!$C$108:$Z$108</definedName>
    <definedName name="_Day467_IsWD" localSheetId="0">TRUE</definedName>
    <definedName name="_Day468" localSheetId="0">'2013 - 8760 Load'!$C$109:$Z$109</definedName>
    <definedName name="_Day468_IsWD" localSheetId="0">TRUE</definedName>
    <definedName name="_Day469" localSheetId="0">'2013 - 8760 Load'!$C$110:$Z$110</definedName>
    <definedName name="_Day469_IsWD" localSheetId="0">FALSE</definedName>
    <definedName name="_Day47" localSheetId="0">'2013 - 8760 Load'!#REF!</definedName>
    <definedName name="_Day47_IsWD" localSheetId="0">FALSE</definedName>
    <definedName name="_Day470" localSheetId="0">'2013 - 8760 Load'!$C$111:$Z$111</definedName>
    <definedName name="_Day470_IsWD" localSheetId="0">FALSE</definedName>
    <definedName name="_Day471" localSheetId="0">'2013 - 8760 Load'!$C$112:$Z$112</definedName>
    <definedName name="_Day471_IsWD" localSheetId="0">TRUE</definedName>
    <definedName name="_Day472" localSheetId="0">'2013 - 8760 Load'!$C$113:$Z$113</definedName>
    <definedName name="_Day472_IsWD" localSheetId="0">TRUE</definedName>
    <definedName name="_Day473" localSheetId="0">'2013 - 8760 Load'!$C$114:$Z$114</definedName>
    <definedName name="_Day473_IsWD" localSheetId="0">TRUE</definedName>
    <definedName name="_Day474" localSheetId="0">'2013 - 8760 Load'!$C$115:$Z$115</definedName>
    <definedName name="_Day474_IsWD" localSheetId="0">TRUE</definedName>
    <definedName name="_Day475" localSheetId="0">'2013 - 8760 Load'!$C$116:$Z$116</definedName>
    <definedName name="_Day475_IsWD" localSheetId="0">TRUE</definedName>
    <definedName name="_Day476" localSheetId="0">'2013 - 8760 Load'!$C$117:$Z$117</definedName>
    <definedName name="_Day476_IsWD" localSheetId="0">FALSE</definedName>
    <definedName name="_Day477" localSheetId="0">'2013 - 8760 Load'!$C$118:$Z$118</definedName>
    <definedName name="_Day477_IsWD" localSheetId="0">FALSE</definedName>
    <definedName name="_Day478" localSheetId="0">'2013 - 8760 Load'!$C$119:$Z$119</definedName>
    <definedName name="_Day478_IsWD" localSheetId="0">TRUE</definedName>
    <definedName name="_Day479" localSheetId="0">'2013 - 8760 Load'!$C$120:$Z$120</definedName>
    <definedName name="_Day479_IsWD" localSheetId="0">TRUE</definedName>
    <definedName name="_Day48" localSheetId="0">'2013 - 8760 Load'!#REF!</definedName>
    <definedName name="_Day48_IsWD" localSheetId="0">FALSE</definedName>
    <definedName name="_Day480" localSheetId="0">'2013 - 8760 Load'!$C$121:$Z$121</definedName>
    <definedName name="_Day480_IsWD" localSheetId="0">TRUE</definedName>
    <definedName name="_Day481" localSheetId="0">'2013 - 8760 Load'!$C$122:$Z$122</definedName>
    <definedName name="_Day481_IsWD" localSheetId="0">TRUE</definedName>
    <definedName name="_Day482" localSheetId="0">'2013 - 8760 Load'!$C$123:$Z$123</definedName>
    <definedName name="_Day482_IsWD" localSheetId="0">TRUE</definedName>
    <definedName name="_Day483" localSheetId="0">'2013 - 8760 Load'!$C$124:$Z$124</definedName>
    <definedName name="_Day483_IsWD" localSheetId="0">FALSE</definedName>
    <definedName name="_Day484" localSheetId="0">'2013 - 8760 Load'!$C$125:$Z$125</definedName>
    <definedName name="_Day484_IsWD" localSheetId="0">FALSE</definedName>
    <definedName name="_Day485" localSheetId="0">'2013 - 8760 Load'!$C$126:$Z$126</definedName>
    <definedName name="_Day485_IsWD" localSheetId="0">TRUE</definedName>
    <definedName name="_Day486" localSheetId="0">'2013 - 8760 Load'!$C$127:$Z$127</definedName>
    <definedName name="_Day486_IsWD" localSheetId="0">TRUE</definedName>
    <definedName name="_Day487" localSheetId="0">'2013 - 8760 Load'!$C$128:$Z$128</definedName>
    <definedName name="_Day487_IsWD" localSheetId="0">TRUE</definedName>
    <definedName name="_Day488" localSheetId="0">'2013 - 8760 Load'!$C$129:$Z$129</definedName>
    <definedName name="_Day488_IsWD" localSheetId="0">TRUE</definedName>
    <definedName name="_Day489" localSheetId="0">'2013 - 8760 Load'!$C$130:$Z$130</definedName>
    <definedName name="_Day489_IsWD" localSheetId="0">TRUE</definedName>
    <definedName name="_Day49" localSheetId="0">'2013 - 8760 Load'!#REF!</definedName>
    <definedName name="_Day49_IsWD" localSheetId="0">FALSE</definedName>
    <definedName name="_Day490" localSheetId="0">'2013 - 8760 Load'!$C$131:$Z$131</definedName>
    <definedName name="_Day490_IsWD" localSheetId="0">FALSE</definedName>
    <definedName name="_Day491" localSheetId="0">'2013 - 8760 Load'!$C$132:$Z$132</definedName>
    <definedName name="_Day491_IsWD" localSheetId="0">FALSE</definedName>
    <definedName name="_Day492" localSheetId="0">'2013 - 8760 Load'!$C$133:$Z$133</definedName>
    <definedName name="_Day492_IsWD" localSheetId="0">TRUE</definedName>
    <definedName name="_Day493" localSheetId="0">'2013 - 8760 Load'!$C$134:$Z$134</definedName>
    <definedName name="_Day493_IsWD" localSheetId="0">TRUE</definedName>
    <definedName name="_Day494" localSheetId="0">'2013 - 8760 Load'!$C$135:$Z$135</definedName>
    <definedName name="_Day494_IsWD" localSheetId="0">TRUE</definedName>
    <definedName name="_Day495" localSheetId="0">'2013 - 8760 Load'!$C$136:$Z$136</definedName>
    <definedName name="_Day495_IsWD" localSheetId="0">TRUE</definedName>
    <definedName name="_Day496" localSheetId="0">'2013 - 8760 Load'!$C$137:$Z$137</definedName>
    <definedName name="_Day496_IsWD" localSheetId="0">TRUE</definedName>
    <definedName name="_Day497" localSheetId="0">'2013 - 8760 Load'!$C$138:$Z$138</definedName>
    <definedName name="_Day497_IsWD" localSheetId="0">FALSE</definedName>
    <definedName name="_Day498" localSheetId="0">'2013 - 8760 Load'!$C$139:$Z$139</definedName>
    <definedName name="_Day498_IsWD" localSheetId="0">FALSE</definedName>
    <definedName name="_Day499" localSheetId="0">'2013 - 8760 Load'!$C$140:$Z$140</definedName>
    <definedName name="_Day499_IsWD" localSheetId="0">TRUE</definedName>
    <definedName name="_Day5" localSheetId="0">'2013 - 8760 Load'!#REF!</definedName>
    <definedName name="_Day5_IsWD" localSheetId="0">FALSE</definedName>
    <definedName name="_Day50" localSheetId="0">'2013 - 8760 Load'!#REF!</definedName>
    <definedName name="_Day50_IsWD" localSheetId="0">FALSE</definedName>
    <definedName name="_Day500" localSheetId="0">'2013 - 8760 Load'!$C$141:$Z$141</definedName>
    <definedName name="_Day500_IsWD" localSheetId="0">TRUE</definedName>
    <definedName name="_Day501" localSheetId="0">'2013 - 8760 Load'!$C$142:$Z$142</definedName>
    <definedName name="_Day501_IsWD" localSheetId="0">TRUE</definedName>
    <definedName name="_Day502" localSheetId="0">'2013 - 8760 Load'!$C$143:$Z$143</definedName>
    <definedName name="_Day502_IsWD" localSheetId="0">TRUE</definedName>
    <definedName name="_Day503" localSheetId="0">'2013 - 8760 Load'!$C$144:$Z$144</definedName>
    <definedName name="_Day503_IsWD" localSheetId="0">TRUE</definedName>
    <definedName name="_Day504" localSheetId="0">'2013 - 8760 Load'!$C$145:$Z$145</definedName>
    <definedName name="_Day504_IsWD" localSheetId="0">FALSE</definedName>
    <definedName name="_Day505" localSheetId="0">'2013 - 8760 Load'!$C$146:$Z$146</definedName>
    <definedName name="_Day505_IsWD" localSheetId="0">FALSE</definedName>
    <definedName name="_Day506" localSheetId="0">'2013 - 8760 Load'!$C$147:$Z$147</definedName>
    <definedName name="_Day506_IsWD" localSheetId="0">TRUE</definedName>
    <definedName name="_Day507" localSheetId="0">'2013 - 8760 Load'!$C$148:$Z$148</definedName>
    <definedName name="_Day507_IsWD" localSheetId="0">TRUE</definedName>
    <definedName name="_Day508" localSheetId="0">'2013 - 8760 Load'!$C$149:$Z$149</definedName>
    <definedName name="_Day508_IsWD" localSheetId="0">TRUE</definedName>
    <definedName name="_Day509" localSheetId="0">'2013 - 8760 Load'!$C$150:$Z$150</definedName>
    <definedName name="_Day509_IsWD" localSheetId="0">TRUE</definedName>
    <definedName name="_Day51" localSheetId="0">'2013 - 8760 Load'!#REF!</definedName>
    <definedName name="_Day51_IsWD" localSheetId="0">FALSE</definedName>
    <definedName name="_Day510" localSheetId="0">'2013 - 8760 Load'!$C$151:$Z$151</definedName>
    <definedName name="_Day510_IsWD" localSheetId="0">TRUE</definedName>
    <definedName name="_Day511" localSheetId="0">'2013 - 8760 Load'!$C$152:$Z$152</definedName>
    <definedName name="_Day511_IsWD" localSheetId="0">FALSE</definedName>
    <definedName name="_Day512" localSheetId="0">'2013 - 8760 Load'!$C$153:$Z$153</definedName>
    <definedName name="_Day512_IsWD" localSheetId="0">FALSE</definedName>
    <definedName name="_Day513" localSheetId="0">'2013 - 8760 Load'!$C$154:$Z$154</definedName>
    <definedName name="_Day513_IsWD" localSheetId="0">FALSE</definedName>
    <definedName name="_Day514" localSheetId="0">'2013 - 8760 Load'!$C$155:$Z$155</definedName>
    <definedName name="_Day514_IsWD" localSheetId="0">TRUE</definedName>
    <definedName name="_Day515" localSheetId="0">'2013 - 8760 Load'!$C$156:$Z$156</definedName>
    <definedName name="_Day515_IsWD" localSheetId="0">TRUE</definedName>
    <definedName name="_Day516" localSheetId="0">'2013 - 8760 Load'!$C$157:$Z$157</definedName>
    <definedName name="_Day516_IsWD" localSheetId="0">TRUE</definedName>
    <definedName name="_Day517" localSheetId="0">'2013 - 8760 Load'!$C$158:$Z$158</definedName>
    <definedName name="_Day517_IsWD" localSheetId="0">TRUE</definedName>
    <definedName name="_Day518" localSheetId="0">'2013 - 8760 Load'!$C$159:$Z$159</definedName>
    <definedName name="_Day518_IsWD" localSheetId="0">FALSE</definedName>
    <definedName name="_Day519" localSheetId="0">'2013 - 8760 Load'!$C$160:$Z$160</definedName>
    <definedName name="_Day519_IsWD" localSheetId="0">FALSE</definedName>
    <definedName name="_Day52" localSheetId="0">'2013 - 8760 Load'!#REF!</definedName>
    <definedName name="_Day52_IsWD" localSheetId="0">FALSE</definedName>
    <definedName name="_Day520" localSheetId="0">'2013 - 8760 Load'!$C$161:$Z$161</definedName>
    <definedName name="_Day520_IsWD" localSheetId="0">TRUE</definedName>
    <definedName name="_Day521" localSheetId="0">'2013 - 8760 Load'!$C$162:$Z$162</definedName>
    <definedName name="_Day521_IsWD" localSheetId="0">TRUE</definedName>
    <definedName name="_Day522" localSheetId="0">'2013 - 8760 Load'!$C$163:$Z$163</definedName>
    <definedName name="_Day522_IsWD" localSheetId="0">TRUE</definedName>
    <definedName name="_Day523" localSheetId="0">'2013 - 8760 Load'!$C$164:$Z$164</definedName>
    <definedName name="_Day523_IsWD" localSheetId="0">TRUE</definedName>
    <definedName name="_Day524" localSheetId="0">'2013 - 8760 Load'!$C$165:$Z$165</definedName>
    <definedName name="_Day524_IsWD" localSheetId="0">TRUE</definedName>
    <definedName name="_Day525" localSheetId="0">'2013 - 8760 Load'!$C$166:$Z$166</definedName>
    <definedName name="_Day525_IsWD" localSheetId="0">FALSE</definedName>
    <definedName name="_Day526" localSheetId="0">'2013 - 8760 Load'!$C$167:$Z$167</definedName>
    <definedName name="_Day526_IsWD" localSheetId="0">FALSE</definedName>
    <definedName name="_Day527" localSheetId="0">'2013 - 8760 Load'!$C$168:$Z$168</definedName>
    <definedName name="_Day527_IsWD" localSheetId="0">TRUE</definedName>
    <definedName name="_Day528" localSheetId="0">'2013 - 8760 Load'!$C$169:$Z$169</definedName>
    <definedName name="_Day528_IsWD" localSheetId="0">TRUE</definedName>
    <definedName name="_Day529" localSheetId="0">'2013 - 8760 Load'!$C$170:$Z$170</definedName>
    <definedName name="_Day529_IsWD" localSheetId="0">TRUE</definedName>
    <definedName name="_Day53" localSheetId="0">'2013 - 8760 Load'!#REF!</definedName>
    <definedName name="_Day53_IsWD" localSheetId="0">FALSE</definedName>
    <definedName name="_Day530" localSheetId="0">'2013 - 8760 Load'!$C$171:$Z$171</definedName>
    <definedName name="_Day530_IsWD" localSheetId="0">TRUE</definedName>
    <definedName name="_Day531" localSheetId="0">'2013 - 8760 Load'!$C$172:$Z$172</definedName>
    <definedName name="_Day531_IsWD" localSheetId="0">TRUE</definedName>
    <definedName name="_Day532" localSheetId="0">'2013 - 8760 Load'!$C$173:$Z$173</definedName>
    <definedName name="_Day532_IsWD" localSheetId="0">FALSE</definedName>
    <definedName name="_Day533" localSheetId="0">'2013 - 8760 Load'!$C$174:$Z$174</definedName>
    <definedName name="_Day533_IsWD" localSheetId="0">FALSE</definedName>
    <definedName name="_Day534" localSheetId="0">'2013 - 8760 Load'!$C$175:$Z$175</definedName>
    <definedName name="_Day534_IsWD" localSheetId="0">TRUE</definedName>
    <definedName name="_Day535" localSheetId="0">'2013 - 8760 Load'!$C$176:$Z$176</definedName>
    <definedName name="_Day535_IsWD" localSheetId="0">TRUE</definedName>
    <definedName name="_Day536" localSheetId="0">'2013 - 8760 Load'!$C$177:$Z$177</definedName>
    <definedName name="_Day536_IsWD" localSheetId="0">TRUE</definedName>
    <definedName name="_Day537" localSheetId="0">'2013 - 8760 Load'!$C$178:$Z$178</definedName>
    <definedName name="_Day537_IsWD" localSheetId="0">TRUE</definedName>
    <definedName name="_Day538" localSheetId="0">'2013 - 8760 Load'!$C$179:$Z$179</definedName>
    <definedName name="_Day538_IsWD" localSheetId="0">TRUE</definedName>
    <definedName name="_Day539" localSheetId="0">'2013 - 8760 Load'!$C$180:$Z$180</definedName>
    <definedName name="_Day539_IsWD" localSheetId="0">FALSE</definedName>
    <definedName name="_Day54" localSheetId="0">'2013 - 8760 Load'!#REF!</definedName>
    <definedName name="_Day54_IsWD" localSheetId="0">FALSE</definedName>
    <definedName name="_Day540" localSheetId="0">'2013 - 8760 Load'!$C$181:$Z$181</definedName>
    <definedName name="_Day540_IsWD" localSheetId="0">FALSE</definedName>
    <definedName name="_Day541" localSheetId="0">'2013 - 8760 Load'!$C$182:$Z$182</definedName>
    <definedName name="_Day541_IsWD" localSheetId="0">TRUE</definedName>
    <definedName name="_Day542" localSheetId="0">'2013 - 8760 Load'!$C$183:$Z$183</definedName>
    <definedName name="_Day542_IsWD" localSheetId="0">TRUE</definedName>
    <definedName name="_Day543" localSheetId="0">'2013 - 8760 Load'!$C$184:$Z$184</definedName>
    <definedName name="_Day543_IsWD" localSheetId="0">TRUE</definedName>
    <definedName name="_Day544" localSheetId="0">'2013 - 8760 Load'!$C$185:$Z$185</definedName>
    <definedName name="_Day544_IsWD" localSheetId="0">TRUE</definedName>
    <definedName name="_Day545" localSheetId="0">'2013 - 8760 Load'!$C$186:$Z$186</definedName>
    <definedName name="_Day545_IsWD" localSheetId="0">TRUE</definedName>
    <definedName name="_Day546" localSheetId="0">'2013 - 8760 Load'!$C$187:$Z$187</definedName>
    <definedName name="_Day546_IsWD" localSheetId="0">FALSE</definedName>
    <definedName name="_Day547" localSheetId="0">'2013 - 8760 Load'!$C$188:$Z$188</definedName>
    <definedName name="_Day547_IsWD" localSheetId="0">FALSE</definedName>
    <definedName name="_Day548" localSheetId="0">'2013 - 8760 Load'!$C$189:$Z$189</definedName>
    <definedName name="_Day548_IsWD" localSheetId="0">TRUE</definedName>
    <definedName name="_Day549" localSheetId="0">'2013 - 8760 Load'!$C$190:$Z$190</definedName>
    <definedName name="_Day549_IsWD" localSheetId="0">TRUE</definedName>
    <definedName name="_Day55" localSheetId="0">'2013 - 8760 Load'!#REF!</definedName>
    <definedName name="_Day55_IsWD" localSheetId="0">FALSE</definedName>
    <definedName name="_Day550" localSheetId="0">'2013 - 8760 Load'!$C$191:$Z$191</definedName>
    <definedName name="_Day550_IsWD" localSheetId="0">TRUE</definedName>
    <definedName name="_Day551" localSheetId="0">'2013 - 8760 Load'!$C$192:$Z$192</definedName>
    <definedName name="_Day551_IsWD" localSheetId="0">FALSE</definedName>
    <definedName name="_Day552" localSheetId="0">'2013 - 8760 Load'!$C$193:$Z$193</definedName>
    <definedName name="_Day552_IsWD" localSheetId="0">TRUE</definedName>
    <definedName name="_Day553" localSheetId="0">'2013 - 8760 Load'!$C$194:$Z$194</definedName>
    <definedName name="_Day553_IsWD" localSheetId="0">FALSE</definedName>
    <definedName name="_Day554" localSheetId="0">'2013 - 8760 Load'!$C$195:$Z$195</definedName>
    <definedName name="_Day554_IsWD" localSheetId="0">FALSE</definedName>
    <definedName name="_Day555" localSheetId="0">'2013 - 8760 Load'!$C$196:$Z$196</definedName>
    <definedName name="_Day555_IsWD" localSheetId="0">TRUE</definedName>
    <definedName name="_Day556" localSheetId="0">'2013 - 8760 Load'!$C$197:$Z$197</definedName>
    <definedName name="_Day556_IsWD" localSheetId="0">TRUE</definedName>
    <definedName name="_Day557" localSheetId="0">'2013 - 8760 Load'!$C$198:$Z$198</definedName>
    <definedName name="_Day557_IsWD" localSheetId="0">TRUE</definedName>
    <definedName name="_Day558" localSheetId="0">'2013 - 8760 Load'!$C$199:$Z$199</definedName>
    <definedName name="_Day558_IsWD" localSheetId="0">TRUE</definedName>
    <definedName name="_Day559" localSheetId="0">'2013 - 8760 Load'!$C$200:$Z$200</definedName>
    <definedName name="_Day559_IsWD" localSheetId="0">TRUE</definedName>
    <definedName name="_Day56" localSheetId="0">'2013 - 8760 Load'!#REF!</definedName>
    <definedName name="_Day56_IsWD" localSheetId="0">FALSE</definedName>
    <definedName name="_Day560" localSheetId="0">'2013 - 8760 Load'!$C$201:$Z$201</definedName>
    <definedName name="_Day560_IsWD" localSheetId="0">FALSE</definedName>
    <definedName name="_Day561" localSheetId="0">'2013 - 8760 Load'!$C$202:$Z$202</definedName>
    <definedName name="_Day561_IsWD" localSheetId="0">FALSE</definedName>
    <definedName name="_Day562" localSheetId="0">'2013 - 8760 Load'!$C$203:$Z$203</definedName>
    <definedName name="_Day562_IsWD" localSheetId="0">TRUE</definedName>
    <definedName name="_Day563" localSheetId="0">'2013 - 8760 Load'!$C$204:$Z$204</definedName>
    <definedName name="_Day563_IsWD" localSheetId="0">TRUE</definedName>
    <definedName name="_Day564" localSheetId="0">'2013 - 8760 Load'!$C$205:$Z$205</definedName>
    <definedName name="_Day564_IsWD" localSheetId="0">TRUE</definedName>
    <definedName name="_Day565" localSheetId="0">'2013 - 8760 Load'!$C$206:$Z$206</definedName>
    <definedName name="_Day565_IsWD" localSheetId="0">TRUE</definedName>
    <definedName name="_Day566" localSheetId="0">'2013 - 8760 Load'!$C$207:$Z$207</definedName>
    <definedName name="_Day566_IsWD" localSheetId="0">TRUE</definedName>
    <definedName name="_Day567" localSheetId="0">'2013 - 8760 Load'!$C$208:$Z$208</definedName>
    <definedName name="_Day567_IsWD" localSheetId="0">FALSE</definedName>
    <definedName name="_Day568" localSheetId="0">'2013 - 8760 Load'!$C$209:$Z$209</definedName>
    <definedName name="_Day568_IsWD" localSheetId="0">FALSE</definedName>
    <definedName name="_Day569" localSheetId="0">'2013 - 8760 Load'!$C$210:$Z$210</definedName>
    <definedName name="_Day569_IsWD" localSheetId="0">TRUE</definedName>
    <definedName name="_Day57" localSheetId="0">'2013 - 8760 Load'!#REF!</definedName>
    <definedName name="_Day57_IsWD" localSheetId="0">FALSE</definedName>
    <definedName name="_Day570" localSheetId="0">'2013 - 8760 Load'!$C$211:$Z$211</definedName>
    <definedName name="_Day570_IsWD" localSheetId="0">TRUE</definedName>
    <definedName name="_Day571" localSheetId="0">'2013 - 8760 Load'!$C$212:$Z$212</definedName>
    <definedName name="_Day571_IsWD" localSheetId="0">TRUE</definedName>
    <definedName name="_Day572" localSheetId="0">'2013 - 8760 Load'!$C$213:$Z$213</definedName>
    <definedName name="_Day572_IsWD" localSheetId="0">TRUE</definedName>
    <definedName name="_Day573" localSheetId="0">'2013 - 8760 Load'!$C$214:$Z$214</definedName>
    <definedName name="_Day573_IsWD" localSheetId="0">TRUE</definedName>
    <definedName name="_Day574" localSheetId="0">'2013 - 8760 Load'!$C$215:$Z$215</definedName>
    <definedName name="_Day574_IsWD" localSheetId="0">FALSE</definedName>
    <definedName name="_Day575" localSheetId="0">'2013 - 8760 Load'!$C$216:$Z$216</definedName>
    <definedName name="_Day575_IsWD" localSheetId="0">FALSE</definedName>
    <definedName name="_Day576" localSheetId="0">'2013 - 8760 Load'!$C$217:$Z$217</definedName>
    <definedName name="_Day576_IsWD" localSheetId="0">TRUE</definedName>
    <definedName name="_Day577" localSheetId="0">'2013 - 8760 Load'!$C$218:$Z$218</definedName>
    <definedName name="_Day577_IsWD" localSheetId="0">TRUE</definedName>
    <definedName name="_Day578" localSheetId="0">'2013 - 8760 Load'!$C$219:$Z$219</definedName>
    <definedName name="_Day578_IsWD" localSheetId="0">TRUE</definedName>
    <definedName name="_Day579" localSheetId="0">'2013 - 8760 Load'!$C$220:$Z$220</definedName>
    <definedName name="_Day579_IsWD" localSheetId="0">TRUE</definedName>
    <definedName name="_Day58" localSheetId="0">'2013 - 8760 Load'!#REF!</definedName>
    <definedName name="_Day58_IsWD" localSheetId="0">FALSE</definedName>
    <definedName name="_Day580" localSheetId="0">'2013 - 8760 Load'!$C$221:$Z$221</definedName>
    <definedName name="_Day580_IsWD" localSheetId="0">TRUE</definedName>
    <definedName name="_Day581" localSheetId="0">'2013 - 8760 Load'!$C$222:$Z$222</definedName>
    <definedName name="_Day581_IsWD" localSheetId="0">FALSE</definedName>
    <definedName name="_Day582" localSheetId="0">'2013 - 8760 Load'!$C$223:$Z$223</definedName>
    <definedName name="_Day582_IsWD" localSheetId="0">FALSE</definedName>
    <definedName name="_Day583" localSheetId="0">'2013 - 8760 Load'!$C$224:$Z$224</definedName>
    <definedName name="_Day583_IsWD" localSheetId="0">TRUE</definedName>
    <definedName name="_Day584" localSheetId="0">'2013 - 8760 Load'!$C$225:$Z$225</definedName>
    <definedName name="_Day584_IsWD" localSheetId="0">TRUE</definedName>
    <definedName name="_Day585" localSheetId="0">'2013 - 8760 Load'!$C$226:$Z$226</definedName>
    <definedName name="_Day585_IsWD" localSheetId="0">TRUE</definedName>
    <definedName name="_Day586" localSheetId="0">'2013 - 8760 Load'!$C$227:$Z$227</definedName>
    <definedName name="_Day586_IsWD" localSheetId="0">TRUE</definedName>
    <definedName name="_Day587" localSheetId="0">'2013 - 8760 Load'!$C$228:$Z$228</definedName>
    <definedName name="_Day587_IsWD" localSheetId="0">TRUE</definedName>
    <definedName name="_Day588" localSheetId="0">'2013 - 8760 Load'!$C$229:$Z$229</definedName>
    <definedName name="_Day588_IsWD" localSheetId="0">FALSE</definedName>
    <definedName name="_Day589" localSheetId="0">'2013 - 8760 Load'!$C$230:$Z$230</definedName>
    <definedName name="_Day589_IsWD" localSheetId="0">FALSE</definedName>
    <definedName name="_Day59" localSheetId="0">'2013 - 8760 Load'!#REF!</definedName>
    <definedName name="_Day59_IsWD" localSheetId="0">FALSE</definedName>
    <definedName name="_Day590" localSheetId="0">'2013 - 8760 Load'!$C$231:$Z$231</definedName>
    <definedName name="_Day590_IsWD" localSheetId="0">TRUE</definedName>
    <definedName name="_Day591" localSheetId="0">'2013 - 8760 Load'!$C$232:$Z$232</definedName>
    <definedName name="_Day591_IsWD" localSheetId="0">TRUE</definedName>
    <definedName name="_Day592" localSheetId="0">'2013 - 8760 Load'!$C$233:$Z$233</definedName>
    <definedName name="_Day592_IsWD" localSheetId="0">TRUE</definedName>
    <definedName name="_Day593" localSheetId="0">'2013 - 8760 Load'!$C$234:$Z$234</definedName>
    <definedName name="_Day593_IsWD" localSheetId="0">TRUE</definedName>
    <definedName name="_Day594" localSheetId="0">'2013 - 8760 Load'!$C$235:$Z$235</definedName>
    <definedName name="_Day594_IsWD" localSheetId="0">TRUE</definedName>
    <definedName name="_Day595" localSheetId="0">'2013 - 8760 Load'!$C$236:$Z$236</definedName>
    <definedName name="_Day595_IsWD" localSheetId="0">FALSE</definedName>
    <definedName name="_Day596" localSheetId="0">'2013 - 8760 Load'!$C$237:$Z$237</definedName>
    <definedName name="_Day596_IsWD" localSheetId="0">FALSE</definedName>
    <definedName name="_Day597" localSheetId="0">'2013 - 8760 Load'!$C$238:$Z$238</definedName>
    <definedName name="_Day597_IsWD" localSheetId="0">TRUE</definedName>
    <definedName name="_Day598" localSheetId="0">'2013 - 8760 Load'!$C$239:$Z$239</definedName>
    <definedName name="_Day598_IsWD" localSheetId="0">TRUE</definedName>
    <definedName name="_Day599" localSheetId="0">'2013 - 8760 Load'!$C$240:$Z$240</definedName>
    <definedName name="_Day599_IsWD" localSheetId="0">TRUE</definedName>
    <definedName name="_Day6" localSheetId="0">'2013 - 8760 Load'!#REF!</definedName>
    <definedName name="_Day6_IsWD" localSheetId="0">FALSE</definedName>
    <definedName name="_Day60" localSheetId="0">'2013 - 8760 Load'!#REF!</definedName>
    <definedName name="_Day60_IsWD" localSheetId="0">FALSE</definedName>
    <definedName name="_Day600" localSheetId="0">'2013 - 8760 Load'!$C$241:$Z$241</definedName>
    <definedName name="_Day600_IsWD" localSheetId="0">TRUE</definedName>
    <definedName name="_Day601" localSheetId="0">'2013 - 8760 Load'!$C$242:$Z$242</definedName>
    <definedName name="_Day601_IsWD" localSheetId="0">TRUE</definedName>
    <definedName name="_Day602" localSheetId="0">'2013 - 8760 Load'!$C$243:$Z$243</definedName>
    <definedName name="_Day602_IsWD" localSheetId="0">FALSE</definedName>
    <definedName name="_Day603" localSheetId="0">'2013 - 8760 Load'!$C$244:$Z$244</definedName>
    <definedName name="_Day603_IsWD" localSheetId="0">FALSE</definedName>
    <definedName name="_Day604" localSheetId="0">'2013 - 8760 Load'!$C$245:$Z$245</definedName>
    <definedName name="_Day604_IsWD" localSheetId="0">TRUE</definedName>
    <definedName name="_Day605" localSheetId="0">'2013 - 8760 Load'!$C$246:$Z$246</definedName>
    <definedName name="_Day605_IsWD" localSheetId="0">TRUE</definedName>
    <definedName name="_Day606" localSheetId="0">'2013 - 8760 Load'!$C$247:$Z$247</definedName>
    <definedName name="_Day606_IsWD" localSheetId="0">TRUE</definedName>
    <definedName name="_Day607" localSheetId="0">'2013 - 8760 Load'!$C$248:$Z$248</definedName>
    <definedName name="_Day607_IsWD" localSheetId="0">TRUE</definedName>
    <definedName name="_Day608" localSheetId="0">'2013 - 8760 Load'!$C$249:$Z$249</definedName>
    <definedName name="_Day608_IsWD" localSheetId="0">TRUE</definedName>
    <definedName name="_Day609" localSheetId="0">'2013 - 8760 Load'!$C$250:$Z$250</definedName>
    <definedName name="_Day609_IsWD" localSheetId="0">FALSE</definedName>
    <definedName name="_Day61" localSheetId="0">'2013 - 8760 Load'!#REF!</definedName>
    <definedName name="_Day61_IsWD" localSheetId="0">FALSE</definedName>
    <definedName name="_Day610" localSheetId="0">'2013 - 8760 Load'!$C$251:$Z$251</definedName>
    <definedName name="_Day610_IsWD" localSheetId="0">FALSE</definedName>
    <definedName name="_Day611" localSheetId="0">'2013 - 8760 Load'!$C$252:$Z$252</definedName>
    <definedName name="_Day611_IsWD" localSheetId="0">FALSE</definedName>
    <definedName name="_Day612" localSheetId="0">'2013 - 8760 Load'!$C$253:$Z$253</definedName>
    <definedName name="_Day612_IsWD" localSheetId="0">TRUE</definedName>
    <definedName name="_Day613" localSheetId="0">'2013 - 8760 Load'!$C$254:$Z$254</definedName>
    <definedName name="_Day613_IsWD" localSheetId="0">TRUE</definedName>
    <definedName name="_Day614" localSheetId="0">'2013 - 8760 Load'!$C$255:$Z$255</definedName>
    <definedName name="_Day614_IsWD" localSheetId="0">TRUE</definedName>
    <definedName name="_Day615" localSheetId="0">'2013 - 8760 Load'!$C$256:$Z$256</definedName>
    <definedName name="_Day615_IsWD" localSheetId="0">TRUE</definedName>
    <definedName name="_Day616" localSheetId="0">'2013 - 8760 Load'!$C$257:$Z$257</definedName>
    <definedName name="_Day616_IsWD" localSheetId="0">FALSE</definedName>
    <definedName name="_Day617" localSheetId="0">'2013 - 8760 Load'!$C$258:$Z$258</definedName>
    <definedName name="_Day617_IsWD" localSheetId="0">FALSE</definedName>
    <definedName name="_Day618" localSheetId="0">'2013 - 8760 Load'!$C$259:$Z$259</definedName>
    <definedName name="_Day618_IsWD" localSheetId="0">TRUE</definedName>
    <definedName name="_Day619" localSheetId="0">'2013 - 8760 Load'!$C$260:$Z$260</definedName>
    <definedName name="_Day619_IsWD" localSheetId="0">TRUE</definedName>
    <definedName name="_Day62" localSheetId="0">'2013 - 8760 Load'!#REF!</definedName>
    <definedName name="_Day62_IsWD" localSheetId="0">FALSE</definedName>
    <definedName name="_Day620" localSheetId="0">'2013 - 8760 Load'!$C$261:$Z$261</definedName>
    <definedName name="_Day620_IsWD" localSheetId="0">TRUE</definedName>
    <definedName name="_Day621" localSheetId="0">'2013 - 8760 Load'!$C$262:$Z$262</definedName>
    <definedName name="_Day621_IsWD" localSheetId="0">TRUE</definedName>
    <definedName name="_Day622" localSheetId="0">'2013 - 8760 Load'!$C$263:$Z$263</definedName>
    <definedName name="_Day622_IsWD" localSheetId="0">TRUE</definedName>
    <definedName name="_Day623" localSheetId="0">'2013 - 8760 Load'!$C$264:$Z$264</definedName>
    <definedName name="_Day623_IsWD" localSheetId="0">FALSE</definedName>
    <definedName name="_Day624" localSheetId="0">'2013 - 8760 Load'!$C$265:$Z$265</definedName>
    <definedName name="_Day624_IsWD" localSheetId="0">FALSE</definedName>
    <definedName name="_Day625" localSheetId="0">'2013 - 8760 Load'!$C$266:$Z$266</definedName>
    <definedName name="_Day625_IsWD" localSheetId="0">TRUE</definedName>
    <definedName name="_Day626" localSheetId="0">'2013 - 8760 Load'!$C$267:$Z$267</definedName>
    <definedName name="_Day626_IsWD" localSheetId="0">TRUE</definedName>
    <definedName name="_Day627" localSheetId="0">'2013 - 8760 Load'!$C$268:$Z$268</definedName>
    <definedName name="_Day627_IsWD" localSheetId="0">TRUE</definedName>
    <definedName name="_Day628" localSheetId="0">'2013 - 8760 Load'!$C$269:$Z$269</definedName>
    <definedName name="_Day628_IsWD" localSheetId="0">TRUE</definedName>
    <definedName name="_Day629" localSheetId="0">'2013 - 8760 Load'!$C$270:$Z$270</definedName>
    <definedName name="_Day629_IsWD" localSheetId="0">TRUE</definedName>
    <definedName name="_Day63" localSheetId="0">'2013 - 8760 Load'!#REF!</definedName>
    <definedName name="_Day63_IsWD" localSheetId="0">FALSE</definedName>
    <definedName name="_Day630" localSheetId="0">'2013 - 8760 Load'!$C$271:$Z$271</definedName>
    <definedName name="_Day630_IsWD" localSheetId="0">FALSE</definedName>
    <definedName name="_Day631" localSheetId="0">'2013 - 8760 Load'!$C$272:$Z$272</definedName>
    <definedName name="_Day631_IsWD" localSheetId="0">FALSE</definedName>
    <definedName name="_Day632" localSheetId="0">'2013 - 8760 Load'!$C$273:$Z$273</definedName>
    <definedName name="_Day632_IsWD" localSheetId="0">TRUE</definedName>
    <definedName name="_Day633" localSheetId="0">'2013 - 8760 Load'!$C$274:$Z$274</definedName>
    <definedName name="_Day633_IsWD" localSheetId="0">TRUE</definedName>
    <definedName name="_Day634" localSheetId="0">'2013 - 8760 Load'!$C$275:$Z$275</definedName>
    <definedName name="_Day634_IsWD" localSheetId="0">TRUE</definedName>
    <definedName name="_Day635" localSheetId="0">'2013 - 8760 Load'!$C$276:$Z$276</definedName>
    <definedName name="_Day635_IsWD" localSheetId="0">TRUE</definedName>
    <definedName name="_Day636" localSheetId="0">'2013 - 8760 Load'!$C$277:$Z$277</definedName>
    <definedName name="_Day636_IsWD" localSheetId="0">TRUE</definedName>
    <definedName name="_Day637" localSheetId="0">'2013 - 8760 Load'!$C$278:$Z$278</definedName>
    <definedName name="_Day637_IsWD" localSheetId="0">FALSE</definedName>
    <definedName name="_Day638" localSheetId="0">'2013 - 8760 Load'!$C$279:$Z$279</definedName>
    <definedName name="_Day638_IsWD" localSheetId="0">FALSE</definedName>
    <definedName name="_Day639" localSheetId="0">'2013 - 8760 Load'!$C$280:$Z$280</definedName>
    <definedName name="_Day639_IsWD" localSheetId="0">TRUE</definedName>
    <definedName name="_Day64" localSheetId="0">'2013 - 8760 Load'!#REF!</definedName>
    <definedName name="_Day64_IsWD" localSheetId="0">FALSE</definedName>
    <definedName name="_Day640" localSheetId="0">'2013 - 8760 Load'!$C$281:$Z$281</definedName>
    <definedName name="_Day640_IsWD" localSheetId="0">TRUE</definedName>
    <definedName name="_Day641" localSheetId="0">'2013 - 8760 Load'!$C$282:$Z$282</definedName>
    <definedName name="_Day641_IsWD" localSheetId="0">TRUE</definedName>
    <definedName name="_Day642" localSheetId="0">'2013 - 8760 Load'!$C$283:$Z$283</definedName>
    <definedName name="_Day642_IsWD" localSheetId="0">TRUE</definedName>
    <definedName name="_Day643" localSheetId="0">'2013 - 8760 Load'!$C$284:$Z$284</definedName>
    <definedName name="_Day643_IsWD" localSheetId="0">TRUE</definedName>
    <definedName name="_Day644" localSheetId="0">'2013 - 8760 Load'!$C$285:$Z$285</definedName>
    <definedName name="_Day644_IsWD" localSheetId="0">FALSE</definedName>
    <definedName name="_Day645" localSheetId="0">'2013 - 8760 Load'!$C$286:$Z$286</definedName>
    <definedName name="_Day645_IsWD" localSheetId="0">FALSE</definedName>
    <definedName name="_Day646" localSheetId="0">'2013 - 8760 Load'!$C$287:$Z$287</definedName>
    <definedName name="_Day646_IsWD" localSheetId="0">TRUE</definedName>
    <definedName name="_Day647" localSheetId="0">'2013 - 8760 Load'!$C$288:$Z$288</definedName>
    <definedName name="_Day647_IsWD" localSheetId="0">TRUE</definedName>
    <definedName name="_Day648" localSheetId="0">'2013 - 8760 Load'!$C$289:$Z$289</definedName>
    <definedName name="_Day648_IsWD" localSheetId="0">TRUE</definedName>
    <definedName name="_Day649" localSheetId="0">'2013 - 8760 Load'!$C$290:$Z$290</definedName>
    <definedName name="_Day649_IsWD" localSheetId="0">TRUE</definedName>
    <definedName name="_Day65" localSheetId="0">'2013 - 8760 Load'!#REF!</definedName>
    <definedName name="_Day65_IsWD" localSheetId="0">FALSE</definedName>
    <definedName name="_Day650" localSheetId="0">'2013 - 8760 Load'!$C$291:$Z$291</definedName>
    <definedName name="_Day650_IsWD" localSheetId="0">TRUE</definedName>
    <definedName name="_Day651" localSheetId="0">'2013 - 8760 Load'!$C$292:$Z$292</definedName>
    <definedName name="_Day651_IsWD" localSheetId="0">FALSE</definedName>
    <definedName name="_Day652" localSheetId="0">'2013 - 8760 Load'!$C$293:$Z$293</definedName>
    <definedName name="_Day652_IsWD" localSheetId="0">FALSE</definedName>
    <definedName name="_Day653" localSheetId="0">'2013 - 8760 Load'!$C$294:$Z$294</definedName>
    <definedName name="_Day653_IsWD" localSheetId="0">FALSE</definedName>
    <definedName name="_Day654" localSheetId="0">'2013 - 8760 Load'!$C$295:$Z$295</definedName>
    <definedName name="_Day654_IsWD" localSheetId="0">TRUE</definedName>
    <definedName name="_Day655" localSheetId="0">'2013 - 8760 Load'!$C$296:$Z$296</definedName>
    <definedName name="_Day655_IsWD" localSheetId="0">TRUE</definedName>
    <definedName name="_Day656" localSheetId="0">'2013 - 8760 Load'!$C$297:$Z$297</definedName>
    <definedName name="_Day656_IsWD" localSheetId="0">TRUE</definedName>
    <definedName name="_Day657" localSheetId="0">'2013 - 8760 Load'!$C$298:$Z$298</definedName>
    <definedName name="_Day657_IsWD" localSheetId="0">TRUE</definedName>
    <definedName name="_Day658" localSheetId="0">'2013 - 8760 Load'!$C$299:$Z$299</definedName>
    <definedName name="_Day658_IsWD" localSheetId="0">FALSE</definedName>
    <definedName name="_Day659" localSheetId="0">'2013 - 8760 Load'!$C$300:$Z$300</definedName>
    <definedName name="_Day659_IsWD" localSheetId="0">FALSE</definedName>
    <definedName name="_Day66" localSheetId="0">'2013 - 8760 Load'!#REF!</definedName>
    <definedName name="_Day66_IsWD" localSheetId="0">FALSE</definedName>
    <definedName name="_Day660" localSheetId="0">'2013 - 8760 Load'!$C$301:$Z$301</definedName>
    <definedName name="_Day660_IsWD" localSheetId="0">TRUE</definedName>
    <definedName name="_Day661" localSheetId="0">'2013 - 8760 Load'!$C$302:$Z$302</definedName>
    <definedName name="_Day661_IsWD" localSheetId="0">TRUE</definedName>
    <definedName name="_Day662" localSheetId="0">'2013 - 8760 Load'!$C$303:$Z$303</definedName>
    <definedName name="_Day662_IsWD" localSheetId="0">TRUE</definedName>
    <definedName name="_Day663" localSheetId="0">'2013 - 8760 Load'!$C$304:$Z$304</definedName>
    <definedName name="_Day663_IsWD" localSheetId="0">TRUE</definedName>
    <definedName name="_Day664" localSheetId="0">'2013 - 8760 Load'!$C$305:$Z$305</definedName>
    <definedName name="_Day664_IsWD" localSheetId="0">TRUE</definedName>
    <definedName name="_Day665" localSheetId="0">'2013 - 8760 Load'!$C$306:$Z$306</definedName>
    <definedName name="_Day665_IsWD" localSheetId="0">FALSE</definedName>
    <definedName name="_Day666" localSheetId="0">'2013 - 8760 Load'!$C$307:$Z$307</definedName>
    <definedName name="_Day666_IsWD" localSheetId="0">FALSE</definedName>
    <definedName name="_Day667" localSheetId="0">'2013 - 8760 Load'!$C$308:$Z$308</definedName>
    <definedName name="_Day667_IsWD" localSheetId="0">TRUE</definedName>
    <definedName name="_Day668" localSheetId="0">'2013 - 8760 Load'!$C$309:$Z$309</definedName>
    <definedName name="_Day668_IsWD" localSheetId="0">TRUE</definedName>
    <definedName name="_Day669" localSheetId="0">'2013 - 8760 Load'!$C$310:$Z$310</definedName>
    <definedName name="_Day669_IsWD" localSheetId="0">TRUE</definedName>
    <definedName name="_Day67" localSheetId="0">'2013 - 8760 Load'!#REF!</definedName>
    <definedName name="_Day67_IsWD" localSheetId="0">FALSE</definedName>
    <definedName name="_Day670" localSheetId="0">'2013 - 8760 Load'!$C$311:$Z$311</definedName>
    <definedName name="_Day670_IsWD" localSheetId="0">TRUE</definedName>
    <definedName name="_Day671" localSheetId="0">'2013 - 8760 Load'!$C$312:$Z$312</definedName>
    <definedName name="_Day671_IsWD" localSheetId="0">TRUE</definedName>
    <definedName name="_Day672" localSheetId="0">'2013 - 8760 Load'!$C$313:$Z$313</definedName>
    <definedName name="_Day672_IsWD" localSheetId="0">FALSE</definedName>
    <definedName name="_Day673" localSheetId="0">'2013 - 8760 Load'!$C$314:$Z$314</definedName>
    <definedName name="_Day673_IsWD" localSheetId="0">FALSE</definedName>
    <definedName name="_Day674" localSheetId="0">'2013 - 8760 Load'!$C$315:$Z$315</definedName>
    <definedName name="_Day674_IsWD" localSheetId="0">TRUE</definedName>
    <definedName name="_Day675" localSheetId="0">'2013 - 8760 Load'!$C$316:$Z$316</definedName>
    <definedName name="_Day675_IsWD" localSheetId="0">TRUE</definedName>
    <definedName name="_Day676" localSheetId="0">'2013 - 8760 Load'!$C$317:$Z$317</definedName>
    <definedName name="_Day676_IsWD" localSheetId="0">TRUE</definedName>
    <definedName name="_Day677" localSheetId="0">'2013 - 8760 Load'!$C$318:$Z$318</definedName>
    <definedName name="_Day677_IsWD" localSheetId="0">TRUE</definedName>
    <definedName name="_Day678" localSheetId="0">'2013 - 8760 Load'!$C$319:$Z$319</definedName>
    <definedName name="_Day678_IsWD" localSheetId="0">TRUE</definedName>
    <definedName name="_Day679" localSheetId="0">'2013 - 8760 Load'!$C$320:$Z$320</definedName>
    <definedName name="_Day679_IsWD" localSheetId="0">FALSE</definedName>
    <definedName name="_Day68" localSheetId="0">'2013 - 8760 Load'!#REF!</definedName>
    <definedName name="_Day68_IsWD" localSheetId="0">FALSE</definedName>
    <definedName name="_Day680" localSheetId="0">'2013 - 8760 Load'!$C$321:$Z$321</definedName>
    <definedName name="_Day680_IsWD" localSheetId="0">FALSE</definedName>
    <definedName name="_Day681" localSheetId="0">'2013 - 8760 Load'!$C$322:$Z$322</definedName>
    <definedName name="_Day681_IsWD" localSheetId="0">FALSE</definedName>
    <definedName name="_Day682" localSheetId="0">'2013 - 8760 Load'!$C$323:$Z$323</definedName>
    <definedName name="_Day682_IsWD" localSheetId="0">TRUE</definedName>
    <definedName name="_Day683" localSheetId="0">'2013 - 8760 Load'!$C$324:$Z$324</definedName>
    <definedName name="_Day683_IsWD" localSheetId="0">TRUE</definedName>
    <definedName name="_Day684" localSheetId="0">'2013 - 8760 Load'!$C$325:$Z$325</definedName>
    <definedName name="_Day684_IsWD" localSheetId="0">TRUE</definedName>
    <definedName name="_Day685" localSheetId="0">'2013 - 8760 Load'!$C$326:$Z$326</definedName>
    <definedName name="_Day685_IsWD" localSheetId="0">TRUE</definedName>
    <definedName name="_Day686" localSheetId="0">'2013 - 8760 Load'!$C$327:$Z$327</definedName>
    <definedName name="_Day686_IsWD" localSheetId="0">FALSE</definedName>
    <definedName name="_Day687" localSheetId="0">'2013 - 8760 Load'!$C$328:$Z$328</definedName>
    <definedName name="_Day687_IsWD" localSheetId="0">FALSE</definedName>
    <definedName name="_Day688" localSheetId="0">'2013 - 8760 Load'!$C$329:$Z$329</definedName>
    <definedName name="_Day688_IsWD" localSheetId="0">TRUE</definedName>
    <definedName name="_Day689" localSheetId="0">'2013 - 8760 Load'!$C$330:$Z$330</definedName>
    <definedName name="_Day689_IsWD" localSheetId="0">TRUE</definedName>
    <definedName name="_Day69" localSheetId="0">'2013 - 8760 Load'!#REF!</definedName>
    <definedName name="_Day69_IsWD" localSheetId="0">FALSE</definedName>
    <definedName name="_Day690" localSheetId="0">'2013 - 8760 Load'!$C$331:$Z$331</definedName>
    <definedName name="_Day690_IsWD" localSheetId="0">TRUE</definedName>
    <definedName name="_Day691" localSheetId="0">'2013 - 8760 Load'!$C$332:$Z$332</definedName>
    <definedName name="_Day691_IsWD" localSheetId="0">TRUE</definedName>
    <definedName name="_Day692" localSheetId="0">'2013 - 8760 Load'!$C$333:$Z$333</definedName>
    <definedName name="_Day692_IsWD" localSheetId="0">TRUE</definedName>
    <definedName name="_Day693" localSheetId="0">'2013 - 8760 Load'!$C$334:$Z$334</definedName>
    <definedName name="_Day693_IsWD" localSheetId="0">FALSE</definedName>
    <definedName name="_Day694" localSheetId="0">'2013 - 8760 Load'!$C$335:$Z$335</definedName>
    <definedName name="_Day694_IsWD" localSheetId="0">FALSE</definedName>
    <definedName name="_Day695" localSheetId="0">'2013 - 8760 Load'!$C$336:$Z$336</definedName>
    <definedName name="_Day695_IsWD" localSheetId="0">TRUE</definedName>
    <definedName name="_Day696" localSheetId="0">'2013 - 8760 Load'!$C$337:$Z$337</definedName>
    <definedName name="_Day696_IsWD" localSheetId="0">TRUE</definedName>
    <definedName name="_Day697" localSheetId="0">'2013 - 8760 Load'!$C$338:$Z$338</definedName>
    <definedName name="_Day697_IsWD" localSheetId="0">TRUE</definedName>
    <definedName name="_Day698" localSheetId="0">'2013 - 8760 Load'!$C$339:$Z$339</definedName>
    <definedName name="_Day698_IsWD" localSheetId="0">FALSE</definedName>
    <definedName name="_Day699" localSheetId="0">'2013 - 8760 Load'!$C$340:$Z$340</definedName>
    <definedName name="_Day699_IsWD" localSheetId="0">FALSE</definedName>
    <definedName name="_Day7" localSheetId="0">'2013 - 8760 Load'!#REF!</definedName>
    <definedName name="_Day7_IsWD" localSheetId="0">FALSE</definedName>
    <definedName name="_Day70" localSheetId="0">'2013 - 8760 Load'!#REF!</definedName>
    <definedName name="_Day70_IsWD" localSheetId="0">FALSE</definedName>
    <definedName name="_Day700" localSheetId="0">'2013 - 8760 Load'!$C$341:$Z$341</definedName>
    <definedName name="_Day700_IsWD" localSheetId="0">FALSE</definedName>
    <definedName name="_Day701" localSheetId="0">'2013 - 8760 Load'!$C$342:$Z$342</definedName>
    <definedName name="_Day701_IsWD" localSheetId="0">FALSE</definedName>
    <definedName name="_Day702" localSheetId="0">'2013 - 8760 Load'!$C$343:$Z$343</definedName>
    <definedName name="_Day702_IsWD" localSheetId="0">TRUE</definedName>
    <definedName name="_Day703" localSheetId="0">'2013 - 8760 Load'!$C$344:$Z$344</definedName>
    <definedName name="_Day703_IsWD" localSheetId="0">TRUE</definedName>
    <definedName name="_Day704" localSheetId="0">'2013 - 8760 Load'!$C$345:$Z$345</definedName>
    <definedName name="_Day704_IsWD" localSheetId="0">TRUE</definedName>
    <definedName name="_Day705" localSheetId="0">'2013 - 8760 Load'!$C$346:$Z$346</definedName>
    <definedName name="_Day705_IsWD" localSheetId="0">TRUE</definedName>
    <definedName name="_Day706" localSheetId="0">'2013 - 8760 Load'!$C$347:$Z$347</definedName>
    <definedName name="_Day706_IsWD" localSheetId="0">TRUE</definedName>
    <definedName name="_Day707" localSheetId="0">'2013 - 8760 Load'!$C$348:$Z$348</definedName>
    <definedName name="_Day707_IsWD" localSheetId="0">FALSE</definedName>
    <definedName name="_Day708" localSheetId="0">'2013 - 8760 Load'!$C$349:$Z$349</definedName>
    <definedName name="_Day708_IsWD" localSheetId="0">FALSE</definedName>
    <definedName name="_Day709" localSheetId="0">'2013 - 8760 Load'!$C$350:$Z$350</definedName>
    <definedName name="_Day709_IsWD" localSheetId="0">TRUE</definedName>
    <definedName name="_Day71" localSheetId="0">'2013 - 8760 Load'!#REF!</definedName>
    <definedName name="_Day71_IsWD" localSheetId="0">FALSE</definedName>
    <definedName name="_Day710" localSheetId="0">'2013 - 8760 Load'!$C$351:$Z$351</definedName>
    <definedName name="_Day710_IsWD" localSheetId="0">TRUE</definedName>
    <definedName name="_Day711" localSheetId="0">'2013 - 8760 Load'!$C$352:$Z$352</definedName>
    <definedName name="_Day711_IsWD" localSheetId="0">TRUE</definedName>
    <definedName name="_Day712" localSheetId="0">'2013 - 8760 Load'!$C$353:$Z$353</definedName>
    <definedName name="_Day712_IsWD" localSheetId="0">TRUE</definedName>
    <definedName name="_Day713" localSheetId="0">'2013 - 8760 Load'!$C$354:$Z$354</definedName>
    <definedName name="_Day713_IsWD" localSheetId="0">TRUE</definedName>
    <definedName name="_Day714" localSheetId="0">'2013 - 8760 Load'!$C$355:$Z$355</definedName>
    <definedName name="_Day714_IsWD" localSheetId="0">FALSE</definedName>
    <definedName name="_Day715" localSheetId="0">'2013 - 8760 Load'!$C$356:$Z$356</definedName>
    <definedName name="_Day715_IsWD" localSheetId="0">FALSE</definedName>
    <definedName name="_Day716" localSheetId="0">'2013 - 8760 Load'!$C$357:$Z$357</definedName>
    <definedName name="_Day716_IsWD" localSheetId="0">TRUE</definedName>
    <definedName name="_Day717" localSheetId="0">'2013 - 8760 Load'!$C$358:$Z$358</definedName>
    <definedName name="_Day717_IsWD" localSheetId="0">TRUE</definedName>
    <definedName name="_Day718" localSheetId="0">'2013 - 8760 Load'!$C$359:$Z$359</definedName>
    <definedName name="_Day718_IsWD" localSheetId="0">TRUE</definedName>
    <definedName name="_Day719" localSheetId="0">'2013 - 8760 Load'!$C$360:$Z$360</definedName>
    <definedName name="_Day719_IsWD" localSheetId="0">TRUE</definedName>
    <definedName name="_Day72" localSheetId="0">'2013 - 8760 Load'!#REF!</definedName>
    <definedName name="_Day72_IsWD" localSheetId="0">FALSE</definedName>
    <definedName name="_Day720" localSheetId="0">'2013 - 8760 Load'!$C$361:$Z$361</definedName>
    <definedName name="_Day720_IsWD" localSheetId="0">TRUE</definedName>
    <definedName name="_Day721" localSheetId="0">'2013 - 8760 Load'!$C$362:$Z$362</definedName>
    <definedName name="_Day721_IsWD" localSheetId="0">FALSE</definedName>
    <definedName name="_Day722" localSheetId="0">'2013 - 8760 Load'!$C$363:$Z$363</definedName>
    <definedName name="_Day722_IsWD" localSheetId="0">FALSE</definedName>
    <definedName name="_Day723" localSheetId="0">'2013 - 8760 Load'!$C$364:$Z$364</definedName>
    <definedName name="_Day723_IsWD" localSheetId="0">TRUE</definedName>
    <definedName name="_Day724" localSheetId="0">'2013 - 8760 Load'!$C$365:$Z$365</definedName>
    <definedName name="_Day724_IsWD" localSheetId="0">TRUE</definedName>
    <definedName name="_Day725" localSheetId="0">'2013 - 8760 Load'!$C$366:$Z$366</definedName>
    <definedName name="_Day725_IsWD" localSheetId="0">FALSE</definedName>
    <definedName name="_Day726" localSheetId="0">'2013 - 8760 Load'!$C$367:$Z$367</definedName>
    <definedName name="_Day726_IsWD" localSheetId="0">TRUE</definedName>
    <definedName name="_Day727" localSheetId="0">'2013 - 8760 Load'!$C$368:$Z$368</definedName>
    <definedName name="_Day727_IsWD" localSheetId="0">TRUE</definedName>
    <definedName name="_Day728" localSheetId="0">'2013 - 8760 Load'!$C$369:$Z$369</definedName>
    <definedName name="_Day728_IsWD" localSheetId="0">FALSE</definedName>
    <definedName name="_Day729" localSheetId="0">'2013 - 8760 Load'!$C$370:$Z$370</definedName>
    <definedName name="_Day729_IsWD" localSheetId="0">FALSE</definedName>
    <definedName name="_Day73" localSheetId="0">'2013 - 8760 Load'!#REF!</definedName>
    <definedName name="_Day73_IsWD" localSheetId="0">FALSE</definedName>
    <definedName name="_Day730" localSheetId="0">'2013 - 8760 Load'!$C$371:$Z$371</definedName>
    <definedName name="_Day730_IsWD" localSheetId="0">TRUE</definedName>
    <definedName name="_Day731" localSheetId="0">'2013 - 8760 Load'!$C$372:$Z$372</definedName>
    <definedName name="_Day731_IsWD" localSheetId="0">TRUE</definedName>
    <definedName name="_Day732" localSheetId="0">'2013 - 8760 Load'!#REF!</definedName>
    <definedName name="_Day732_IsWD" localSheetId="0">FALSE</definedName>
    <definedName name="_Day733" localSheetId="0">'2013 - 8760 Load'!#REF!</definedName>
    <definedName name="_Day733_IsWD" localSheetId="0">TRUE</definedName>
    <definedName name="_Day734" localSheetId="0">'2013 - 8760 Load'!#REF!</definedName>
    <definedName name="_Day734_IsWD" localSheetId="0">TRUE</definedName>
    <definedName name="_Day735" localSheetId="0">'2013 - 8760 Load'!#REF!</definedName>
    <definedName name="_Day735_IsWD" localSheetId="0">FALSE</definedName>
    <definedName name="_Day736" localSheetId="0">'2013 - 8760 Load'!#REF!</definedName>
    <definedName name="_Day736_IsWD" localSheetId="0">FALSE</definedName>
    <definedName name="_Day737" localSheetId="0">'2013 - 8760 Load'!#REF!</definedName>
    <definedName name="_Day737_IsWD" localSheetId="0">TRUE</definedName>
    <definedName name="_Day738" localSheetId="0">'2013 - 8760 Load'!#REF!</definedName>
    <definedName name="_Day738_IsWD" localSheetId="0">TRUE</definedName>
    <definedName name="_Day739" localSheetId="0">'2013 - 8760 Load'!#REF!</definedName>
    <definedName name="_Day739_IsWD" localSheetId="0">TRUE</definedName>
    <definedName name="_Day74" localSheetId="0">'2013 - 8760 Load'!#REF!</definedName>
    <definedName name="_Day74_IsWD" localSheetId="0">FALSE</definedName>
    <definedName name="_Day740" localSheetId="0">'2013 - 8760 Load'!#REF!</definedName>
    <definedName name="_Day740_IsWD" localSheetId="0">TRUE</definedName>
    <definedName name="_Day741" localSheetId="0">'2013 - 8760 Load'!#REF!</definedName>
    <definedName name="_Day741_IsWD" localSheetId="0">TRUE</definedName>
    <definedName name="_Day742" localSheetId="0">'2013 - 8760 Load'!#REF!</definedName>
    <definedName name="_Day742_IsWD" localSheetId="0">FALSE</definedName>
    <definedName name="_Day743" localSheetId="0">'2013 - 8760 Load'!#REF!</definedName>
    <definedName name="_Day743_IsWD" localSheetId="0">FALSE</definedName>
    <definedName name="_Day744" localSheetId="0">'2013 - 8760 Load'!#REF!</definedName>
    <definedName name="_Day744_IsWD" localSheetId="0">TRUE</definedName>
    <definedName name="_Day745" localSheetId="0">'2013 - 8760 Load'!#REF!</definedName>
    <definedName name="_Day745_IsWD" localSheetId="0">TRUE</definedName>
    <definedName name="_Day746" localSheetId="0">'2013 - 8760 Load'!#REF!</definedName>
    <definedName name="_Day746_IsWD" localSheetId="0">TRUE</definedName>
    <definedName name="_Day747" localSheetId="0">'2013 - 8760 Load'!#REF!</definedName>
    <definedName name="_Day747_IsWD" localSheetId="0">TRUE</definedName>
    <definedName name="_Day748" localSheetId="0">'2013 - 8760 Load'!#REF!</definedName>
    <definedName name="_Day748_IsWD" localSheetId="0">TRUE</definedName>
    <definedName name="_Day749" localSheetId="0">'2013 - 8760 Load'!#REF!</definedName>
    <definedName name="_Day749_IsWD" localSheetId="0">FALSE</definedName>
    <definedName name="_Day75" localSheetId="0">'2013 - 8760 Load'!#REF!</definedName>
    <definedName name="_Day75_IsWD" localSheetId="0">FALSE</definedName>
    <definedName name="_Day750" localSheetId="0">'2013 - 8760 Load'!#REF!</definedName>
    <definedName name="_Day750_IsWD" localSheetId="0">FALSE</definedName>
    <definedName name="_Day751" localSheetId="0">'2013 - 8760 Load'!#REF!</definedName>
    <definedName name="_Day751_IsWD" localSheetId="0">FALSE</definedName>
    <definedName name="_Day752" localSheetId="0">'2013 - 8760 Load'!#REF!</definedName>
    <definedName name="_Day752_IsWD" localSheetId="0">TRUE</definedName>
    <definedName name="_Day753" localSheetId="0">'2013 - 8760 Load'!#REF!</definedName>
    <definedName name="_Day753_IsWD" localSheetId="0">TRUE</definedName>
    <definedName name="_Day754" localSheetId="0">'2013 - 8760 Load'!#REF!</definedName>
    <definedName name="_Day754_IsWD" localSheetId="0">TRUE</definedName>
    <definedName name="_Day755" localSheetId="0">'2013 - 8760 Load'!#REF!</definedName>
    <definedName name="_Day755_IsWD" localSheetId="0">TRUE</definedName>
    <definedName name="_Day756" localSheetId="0">'2013 - 8760 Load'!#REF!</definedName>
    <definedName name="_Day756_IsWD" localSheetId="0">FALSE</definedName>
    <definedName name="_Day757" localSheetId="0">'2013 - 8760 Load'!#REF!</definedName>
    <definedName name="_Day757_IsWD" localSheetId="0">FALSE</definedName>
    <definedName name="_Day758" localSheetId="0">'2013 - 8760 Load'!#REF!</definedName>
    <definedName name="_Day758_IsWD" localSheetId="0">TRUE</definedName>
    <definedName name="_Day759" localSheetId="0">'2013 - 8760 Load'!#REF!</definedName>
    <definedName name="_Day759_IsWD" localSheetId="0">TRUE</definedName>
    <definedName name="_Day76" localSheetId="0">'2013 - 8760 Load'!#REF!</definedName>
    <definedName name="_Day76_IsWD" localSheetId="0">FALSE</definedName>
    <definedName name="_Day760" localSheetId="0">'2013 - 8760 Load'!#REF!</definedName>
    <definedName name="_Day760_IsWD" localSheetId="0">TRUE</definedName>
    <definedName name="_Day761" localSheetId="0">'2013 - 8760 Load'!#REF!</definedName>
    <definedName name="_Day761_IsWD" localSheetId="0">TRUE</definedName>
    <definedName name="_Day762" localSheetId="0">'2013 - 8760 Load'!#REF!</definedName>
    <definedName name="_Day762_IsWD" localSheetId="0">TRUE</definedName>
    <definedName name="_Day763" localSheetId="0">'2013 - 8760 Load'!#REF!</definedName>
    <definedName name="_Day763_IsWD" localSheetId="0">FALSE</definedName>
    <definedName name="_Day764" localSheetId="0">'2013 - 8760 Load'!#REF!</definedName>
    <definedName name="_Day764_IsWD" localSheetId="0">FALSE</definedName>
    <definedName name="_Day765" localSheetId="0">'2013 - 8760 Load'!#REF!</definedName>
    <definedName name="_Day765_IsWD" localSheetId="0">TRUE</definedName>
    <definedName name="_Day766" localSheetId="0">'2013 - 8760 Load'!#REF!</definedName>
    <definedName name="_Day766_IsWD" localSheetId="0">TRUE</definedName>
    <definedName name="_Day767" localSheetId="0">'2013 - 8760 Load'!#REF!</definedName>
    <definedName name="_Day767_IsWD" localSheetId="0">TRUE</definedName>
    <definedName name="_Day768" localSheetId="0">'2013 - 8760 Load'!#REF!</definedName>
    <definedName name="_Day768_IsWD" localSheetId="0">TRUE</definedName>
    <definedName name="_Day769" localSheetId="0">'2013 - 8760 Load'!#REF!</definedName>
    <definedName name="_Day769_IsWD" localSheetId="0">TRUE</definedName>
    <definedName name="_Day77" localSheetId="0">'2013 - 8760 Load'!#REF!</definedName>
    <definedName name="_Day77_IsWD" localSheetId="0">FALSE</definedName>
    <definedName name="_Day770" localSheetId="0">'2013 - 8760 Load'!#REF!</definedName>
    <definedName name="_Day770_IsWD" localSheetId="0">FALSE</definedName>
    <definedName name="_Day771" localSheetId="0">'2013 - 8760 Load'!#REF!</definedName>
    <definedName name="_Day771_IsWD" localSheetId="0">FALSE</definedName>
    <definedName name="_Day772" localSheetId="0">'2013 - 8760 Load'!#REF!</definedName>
    <definedName name="_Day772_IsWD" localSheetId="0">TRUE</definedName>
    <definedName name="_Day773" localSheetId="0">'2013 - 8760 Load'!#REF!</definedName>
    <definedName name="_Day773_IsWD" localSheetId="0">TRUE</definedName>
    <definedName name="_Day774" localSheetId="0">'2013 - 8760 Load'!#REF!</definedName>
    <definedName name="_Day774_IsWD" localSheetId="0">TRUE</definedName>
    <definedName name="_Day775" localSheetId="0">'2013 - 8760 Load'!#REF!</definedName>
    <definedName name="_Day775_IsWD" localSheetId="0">TRUE</definedName>
    <definedName name="_Day776" localSheetId="0">'2013 - 8760 Load'!#REF!</definedName>
    <definedName name="_Day776_IsWD" localSheetId="0">TRUE</definedName>
    <definedName name="_Day777" localSheetId="0">'2013 - 8760 Load'!#REF!</definedName>
    <definedName name="_Day777_IsWD" localSheetId="0">FALSE</definedName>
    <definedName name="_Day778" localSheetId="0">'2013 - 8760 Load'!#REF!</definedName>
    <definedName name="_Day778_IsWD" localSheetId="0">FALSE</definedName>
    <definedName name="_Day779" localSheetId="0">'2013 - 8760 Load'!#REF!</definedName>
    <definedName name="_Day779_IsWD" localSheetId="0">FALSE</definedName>
    <definedName name="_Day78" localSheetId="0">'2013 - 8760 Load'!#REF!</definedName>
    <definedName name="_Day78_IsWD" localSheetId="0">FALSE</definedName>
    <definedName name="_Day780" localSheetId="0">'2013 - 8760 Load'!#REF!</definedName>
    <definedName name="_Day780_IsWD" localSheetId="0">TRUE</definedName>
    <definedName name="_Day781" localSheetId="0">'2013 - 8760 Load'!#REF!</definedName>
    <definedName name="_Day781_IsWD" localSheetId="0">TRUE</definedName>
    <definedName name="_Day782" localSheetId="0">'2013 - 8760 Load'!#REF!</definedName>
    <definedName name="_Day782_IsWD" localSheetId="0">TRUE</definedName>
    <definedName name="_Day783" localSheetId="0">'2013 - 8760 Load'!#REF!</definedName>
    <definedName name="_Day783_IsWD" localSheetId="0">TRUE</definedName>
    <definedName name="_Day784" localSheetId="0">'2013 - 8760 Load'!#REF!</definedName>
    <definedName name="_Day784_IsWD" localSheetId="0">FALSE</definedName>
    <definedName name="_Day785" localSheetId="0">'2013 - 8760 Load'!#REF!</definedName>
    <definedName name="_Day785_IsWD" localSheetId="0">FALSE</definedName>
    <definedName name="_Day786" localSheetId="0">'2013 - 8760 Load'!#REF!</definedName>
    <definedName name="_Day786_IsWD" localSheetId="0">TRUE</definedName>
    <definedName name="_Day787" localSheetId="0">'2013 - 8760 Load'!#REF!</definedName>
    <definedName name="_Day787_IsWD" localSheetId="0">TRUE</definedName>
    <definedName name="_Day788" localSheetId="0">'2013 - 8760 Load'!#REF!</definedName>
    <definedName name="_Day788_IsWD" localSheetId="0">TRUE</definedName>
    <definedName name="_Day789" localSheetId="0">'2013 - 8760 Load'!#REF!</definedName>
    <definedName name="_Day789_IsWD" localSheetId="0">TRUE</definedName>
    <definedName name="_Day79" localSheetId="0">'2013 - 8760 Load'!#REF!</definedName>
    <definedName name="_Day79_IsWD" localSheetId="0">FALSE</definedName>
    <definedName name="_Day790" localSheetId="0">'2013 - 8760 Load'!#REF!</definedName>
    <definedName name="_Day790_IsWD" localSheetId="0">TRUE</definedName>
    <definedName name="_Day791" localSheetId="0">'2013 - 8760 Load'!#REF!</definedName>
    <definedName name="_Day791_IsWD" localSheetId="0">FALSE</definedName>
    <definedName name="_Day792" localSheetId="0">'2013 - 8760 Load'!#REF!</definedName>
    <definedName name="_Day792_IsWD" localSheetId="0">FALSE</definedName>
    <definedName name="_Day793" localSheetId="0">'2013 - 8760 Load'!#REF!</definedName>
    <definedName name="_Day793_IsWD" localSheetId="0">TRUE</definedName>
    <definedName name="_Day794" localSheetId="0">'2013 - 8760 Load'!#REF!</definedName>
    <definedName name="_Day794_IsWD" localSheetId="0">TRUE</definedName>
    <definedName name="_Day795" localSheetId="0">'2013 - 8760 Load'!#REF!</definedName>
    <definedName name="_Day795_IsWD" localSheetId="0">TRUE</definedName>
    <definedName name="_Day796" localSheetId="0">'2013 - 8760 Load'!#REF!</definedName>
    <definedName name="_Day796_IsWD" localSheetId="0">TRUE</definedName>
    <definedName name="_Day797" localSheetId="0">'2013 - 8760 Load'!#REF!</definedName>
    <definedName name="_Day797_IsWD" localSheetId="0">TRUE</definedName>
    <definedName name="_Day798" localSheetId="0">'2013 - 8760 Load'!#REF!</definedName>
    <definedName name="_Day798_IsWD" localSheetId="0">FALSE</definedName>
    <definedName name="_Day799" localSheetId="0">'2013 - 8760 Load'!#REF!</definedName>
    <definedName name="_Day799_IsWD" localSheetId="0">FALSE</definedName>
    <definedName name="_Day8" localSheetId="0">'2013 - 8760 Load'!#REF!</definedName>
    <definedName name="_Day8_IsWD" localSheetId="0">FALSE</definedName>
    <definedName name="_Day80" localSheetId="0">'2013 - 8760 Load'!#REF!</definedName>
    <definedName name="_Day80_IsWD" localSheetId="0">FALSE</definedName>
    <definedName name="_Day800" localSheetId="0">'2013 - 8760 Load'!#REF!</definedName>
    <definedName name="_Day800_IsWD" localSheetId="0">TRUE</definedName>
    <definedName name="_Day801" localSheetId="0">'2013 - 8760 Load'!#REF!</definedName>
    <definedName name="_Day801_IsWD" localSheetId="0">TRUE</definedName>
    <definedName name="_Day802" localSheetId="0">'2013 - 8760 Load'!#REF!</definedName>
    <definedName name="_Day802_IsWD" localSheetId="0">TRUE</definedName>
    <definedName name="_Day803" localSheetId="0">'2013 - 8760 Load'!#REF!</definedName>
    <definedName name="_Day803_IsWD" localSheetId="0">TRUE</definedName>
    <definedName name="_Day804" localSheetId="0">'2013 - 8760 Load'!#REF!</definedName>
    <definedName name="_Day804_IsWD" localSheetId="0">TRUE</definedName>
    <definedName name="_Day805" localSheetId="0">'2013 - 8760 Load'!#REF!</definedName>
    <definedName name="_Day805_IsWD" localSheetId="0">FALSE</definedName>
    <definedName name="_Day806" localSheetId="0">'2013 - 8760 Load'!#REF!</definedName>
    <definedName name="_Day806_IsWD" localSheetId="0">FALSE</definedName>
    <definedName name="_Day807" localSheetId="0">'2013 - 8760 Load'!#REF!</definedName>
    <definedName name="_Day807_IsWD" localSheetId="0">TRUE</definedName>
    <definedName name="_Day808" localSheetId="0">'2013 - 8760 Load'!#REF!</definedName>
    <definedName name="_Day808_IsWD" localSheetId="0">TRUE</definedName>
    <definedName name="_Day809" localSheetId="0">'2013 - 8760 Load'!#REF!</definedName>
    <definedName name="_Day809_IsWD" localSheetId="0">TRUE</definedName>
    <definedName name="_Day81" localSheetId="0">'2013 - 8760 Load'!#REF!</definedName>
    <definedName name="_Day81_IsWD" localSheetId="0">FALSE</definedName>
    <definedName name="_Day810" localSheetId="0">'2013 - 8760 Load'!#REF!</definedName>
    <definedName name="_Day810_IsWD" localSheetId="0">TRUE</definedName>
    <definedName name="_Day811" localSheetId="0">'2013 - 8760 Load'!#REF!</definedName>
    <definedName name="_Day811_IsWD" localSheetId="0">TRUE</definedName>
    <definedName name="_Day812" localSheetId="0">'2013 - 8760 Load'!#REF!</definedName>
    <definedName name="_Day812_IsWD" localSheetId="0">FALSE</definedName>
    <definedName name="_Day813" localSheetId="0">'2013 - 8760 Load'!#REF!</definedName>
    <definedName name="_Day813_IsWD" localSheetId="0">FALSE</definedName>
    <definedName name="_Day814" localSheetId="0">'2013 - 8760 Load'!#REF!</definedName>
    <definedName name="_Day814_IsWD" localSheetId="0">TRUE</definedName>
    <definedName name="_Day815" localSheetId="0">'2013 - 8760 Load'!#REF!</definedName>
    <definedName name="_Day815_IsWD" localSheetId="0">TRUE</definedName>
    <definedName name="_Day816" localSheetId="0">'2013 - 8760 Load'!#REF!</definedName>
    <definedName name="_Day816_IsWD" localSheetId="0">TRUE</definedName>
    <definedName name="_Day817" localSheetId="0">'2013 - 8760 Load'!#REF!</definedName>
    <definedName name="_Day817_IsWD" localSheetId="0">TRUE</definedName>
    <definedName name="_Day818" localSheetId="0">'2013 - 8760 Load'!#REF!</definedName>
    <definedName name="_Day818_IsWD" localSheetId="0">TRUE</definedName>
    <definedName name="_Day819" localSheetId="0">'2013 - 8760 Load'!#REF!</definedName>
    <definedName name="_Day819_IsWD" localSheetId="0">FALSE</definedName>
    <definedName name="_Day82" localSheetId="0">'2013 - 8760 Load'!#REF!</definedName>
    <definedName name="_Day82_IsWD" localSheetId="0">FALSE</definedName>
    <definedName name="_Day820" localSheetId="0">'2013 - 8760 Load'!#REF!</definedName>
    <definedName name="_Day820_IsWD" localSheetId="0">FALSE</definedName>
    <definedName name="_Day821" localSheetId="0">'2013 - 8760 Load'!#REF!</definedName>
    <definedName name="_Day821_IsWD" localSheetId="0">TRUE</definedName>
    <definedName name="_Day822" localSheetId="0">'2013 - 8760 Load'!#REF!</definedName>
    <definedName name="_Day822_IsWD" localSheetId="0">TRUE</definedName>
    <definedName name="_Day823" localSheetId="0">'2013 - 8760 Load'!#REF!</definedName>
    <definedName name="_Day823_IsWD" localSheetId="0">TRUE</definedName>
    <definedName name="_Day824" localSheetId="0">'2013 - 8760 Load'!#REF!</definedName>
    <definedName name="_Day824_IsWD" localSheetId="0">TRUE</definedName>
    <definedName name="_Day825" localSheetId="0">'2013 - 8760 Load'!#REF!</definedName>
    <definedName name="_Day825_IsWD" localSheetId="0">TRUE</definedName>
    <definedName name="_Day826" localSheetId="0">'2013 - 8760 Load'!#REF!</definedName>
    <definedName name="_Day826_IsWD" localSheetId="0">FALSE</definedName>
    <definedName name="_Day827" localSheetId="0">'2013 - 8760 Load'!#REF!</definedName>
    <definedName name="_Day827_IsWD" localSheetId="0">FALSE</definedName>
    <definedName name="_Day828" localSheetId="0">'2013 - 8760 Load'!#REF!</definedName>
    <definedName name="_Day828_IsWD" localSheetId="0">TRUE</definedName>
    <definedName name="_Day829" localSheetId="0">'2013 - 8760 Load'!#REF!</definedName>
    <definedName name="_Day829_IsWD" localSheetId="0">TRUE</definedName>
    <definedName name="_Day83" localSheetId="0">'2013 - 8760 Load'!#REF!</definedName>
    <definedName name="_Day83_IsWD" localSheetId="0">FALSE</definedName>
    <definedName name="_Day830" localSheetId="0">'2013 - 8760 Load'!#REF!</definedName>
    <definedName name="_Day830_IsWD" localSheetId="0">TRUE</definedName>
    <definedName name="_Day831" localSheetId="0">'2013 - 8760 Load'!#REF!</definedName>
    <definedName name="_Day831_IsWD" localSheetId="0">TRUE</definedName>
    <definedName name="_Day832" localSheetId="0">'2013 - 8760 Load'!#REF!</definedName>
    <definedName name="_Day832_IsWD" localSheetId="0">TRUE</definedName>
    <definedName name="_Day833" localSheetId="0">'2013 - 8760 Load'!#REF!</definedName>
    <definedName name="_Day833_IsWD" localSheetId="0">FALSE</definedName>
    <definedName name="_Day834" localSheetId="0">'2013 - 8760 Load'!#REF!</definedName>
    <definedName name="_Day834_IsWD" localSheetId="0">FALSE</definedName>
    <definedName name="_Day835" localSheetId="0">'2013 - 8760 Load'!#REF!</definedName>
    <definedName name="_Day835_IsWD" localSheetId="0">TRUE</definedName>
    <definedName name="_Day836" localSheetId="0">'2013 - 8760 Load'!#REF!</definedName>
    <definedName name="_Day836_IsWD" localSheetId="0">TRUE</definedName>
    <definedName name="_Day837" localSheetId="0">'2013 - 8760 Load'!#REF!</definedName>
    <definedName name="_Day837_IsWD" localSheetId="0">TRUE</definedName>
    <definedName name="_Day838" localSheetId="0">'2013 - 8760 Load'!#REF!</definedName>
    <definedName name="_Day838_IsWD" localSheetId="0">TRUE</definedName>
    <definedName name="_Day839" localSheetId="0">'2013 - 8760 Load'!#REF!</definedName>
    <definedName name="_Day839_IsWD" localSheetId="0">TRUE</definedName>
    <definedName name="_Day84" localSheetId="0">'2013 - 8760 Load'!#REF!</definedName>
    <definedName name="_Day84_IsWD" localSheetId="0">FALSE</definedName>
    <definedName name="_Day840" localSheetId="0">'2013 - 8760 Load'!#REF!</definedName>
    <definedName name="_Day840_IsWD" localSheetId="0">FALSE</definedName>
    <definedName name="_Day841" localSheetId="0">'2013 - 8760 Load'!#REF!</definedName>
    <definedName name="_Day841_IsWD" localSheetId="0">FALSE</definedName>
    <definedName name="_Day842" localSheetId="0">'2013 - 8760 Load'!#REF!</definedName>
    <definedName name="_Day842_IsWD" localSheetId="0">TRUE</definedName>
    <definedName name="_Day843" localSheetId="0">'2013 - 8760 Load'!#REF!</definedName>
    <definedName name="_Day843_IsWD" localSheetId="0">TRUE</definedName>
    <definedName name="_Day844" localSheetId="0">'2013 - 8760 Load'!#REF!</definedName>
    <definedName name="_Day844_IsWD" localSheetId="0">TRUE</definedName>
    <definedName name="_Day845" localSheetId="0">'2013 - 8760 Load'!#REF!</definedName>
    <definedName name="_Day845_IsWD" localSheetId="0">TRUE</definedName>
    <definedName name="_Day846" localSheetId="0">'2013 - 8760 Load'!#REF!</definedName>
    <definedName name="_Day846_IsWD" localSheetId="0">TRUE</definedName>
    <definedName name="_Day847" localSheetId="0">'2013 - 8760 Load'!#REF!</definedName>
    <definedName name="_Day847_IsWD" localSheetId="0">FALSE</definedName>
    <definedName name="_Day848" localSheetId="0">'2013 - 8760 Load'!#REF!</definedName>
    <definedName name="_Day848_IsWD" localSheetId="0">FALSE</definedName>
    <definedName name="_Day849" localSheetId="0">'2013 - 8760 Load'!#REF!</definedName>
    <definedName name="_Day849_IsWD" localSheetId="0">TRUE</definedName>
    <definedName name="_Day85" localSheetId="0">'2013 - 8760 Load'!#REF!</definedName>
    <definedName name="_Day85_IsWD" localSheetId="0">FALSE</definedName>
    <definedName name="_Day850" localSheetId="0">'2013 - 8760 Load'!#REF!</definedName>
    <definedName name="_Day850_IsWD" localSheetId="0">TRUE</definedName>
    <definedName name="_Day851" localSheetId="0">'2013 - 8760 Load'!#REF!</definedName>
    <definedName name="_Day851_IsWD" localSheetId="0">TRUE</definedName>
    <definedName name="_Day852" localSheetId="0">'2013 - 8760 Load'!#REF!</definedName>
    <definedName name="_Day852_IsWD" localSheetId="0">TRUE</definedName>
    <definedName name="_Day853" localSheetId="0">'2013 - 8760 Load'!#REF!</definedName>
    <definedName name="_Day853_IsWD" localSheetId="0">TRUE</definedName>
    <definedName name="_Day854" localSheetId="0">'2013 - 8760 Load'!#REF!</definedName>
    <definedName name="_Day854_IsWD" localSheetId="0">FALSE</definedName>
    <definedName name="_Day855" localSheetId="0">'2013 - 8760 Load'!#REF!</definedName>
    <definedName name="_Day855_IsWD" localSheetId="0">FALSE</definedName>
    <definedName name="_Day856" localSheetId="0">'2013 - 8760 Load'!#REF!</definedName>
    <definedName name="_Day856_IsWD" localSheetId="0">TRUE</definedName>
    <definedName name="_Day857" localSheetId="0">'2013 - 8760 Load'!#REF!</definedName>
    <definedName name="_Day857_IsWD" localSheetId="0">TRUE</definedName>
    <definedName name="_Day858" localSheetId="0">'2013 - 8760 Load'!#REF!</definedName>
    <definedName name="_Day858_IsWD" localSheetId="0">TRUE</definedName>
    <definedName name="_Day859" localSheetId="0">'2013 - 8760 Load'!#REF!</definedName>
    <definedName name="_Day859_IsWD" localSheetId="0">TRUE</definedName>
    <definedName name="_Day86" localSheetId="0">'2013 - 8760 Load'!#REF!</definedName>
    <definedName name="_Day86_IsWD" localSheetId="0">FALSE</definedName>
    <definedName name="_Day860" localSheetId="0">'2013 - 8760 Load'!#REF!</definedName>
    <definedName name="_Day860_IsWD" localSheetId="0">TRUE</definedName>
    <definedName name="_Day861" localSheetId="0">'2013 - 8760 Load'!#REF!</definedName>
    <definedName name="_Day861_IsWD" localSheetId="0">FALSE</definedName>
    <definedName name="_Day862" localSheetId="0">'2013 - 8760 Load'!#REF!</definedName>
    <definedName name="_Day862_IsWD" localSheetId="0">FALSE</definedName>
    <definedName name="_Day863" localSheetId="0">'2013 - 8760 Load'!#REF!</definedName>
    <definedName name="_Day863_IsWD" localSheetId="0">TRUE</definedName>
    <definedName name="_Day864" localSheetId="0">'2013 - 8760 Load'!#REF!</definedName>
    <definedName name="_Day864_IsWD" localSheetId="0">TRUE</definedName>
    <definedName name="_Day865" localSheetId="0">'2013 - 8760 Load'!#REF!</definedName>
    <definedName name="_Day865_IsWD" localSheetId="0">TRUE</definedName>
    <definedName name="_Day866" localSheetId="0">'2013 - 8760 Load'!#REF!</definedName>
    <definedName name="_Day866_IsWD" localSheetId="0">TRUE</definedName>
    <definedName name="_Day867" localSheetId="0">'2013 - 8760 Load'!#REF!</definedName>
    <definedName name="_Day867_IsWD" localSheetId="0">TRUE</definedName>
    <definedName name="_Day868" localSheetId="0">'2013 - 8760 Load'!#REF!</definedName>
    <definedName name="_Day868_IsWD" localSheetId="0">FALSE</definedName>
    <definedName name="_Day869" localSheetId="0">'2013 - 8760 Load'!#REF!</definedName>
    <definedName name="_Day869_IsWD" localSheetId="0">FALSE</definedName>
    <definedName name="_Day87" localSheetId="0">'2013 - 8760 Load'!#REF!</definedName>
    <definedName name="_Day87_IsWD" localSheetId="0">FALSE</definedName>
    <definedName name="_Day870" localSheetId="0">'2013 - 8760 Load'!#REF!</definedName>
    <definedName name="_Day870_IsWD" localSheetId="0">TRUE</definedName>
    <definedName name="_Day871" localSheetId="0">'2013 - 8760 Load'!#REF!</definedName>
    <definedName name="_Day871_IsWD" localSheetId="0">TRUE</definedName>
    <definedName name="_Day872" localSheetId="0">'2013 - 8760 Load'!#REF!</definedName>
    <definedName name="_Day872_IsWD" localSheetId="0">TRUE</definedName>
    <definedName name="_Day873" localSheetId="0">'2013 - 8760 Load'!#REF!</definedName>
    <definedName name="_Day873_IsWD" localSheetId="0">TRUE</definedName>
    <definedName name="_Day874" localSheetId="0">'2013 - 8760 Load'!#REF!</definedName>
    <definedName name="_Day874_IsWD" localSheetId="0">TRUE</definedName>
    <definedName name="_Day875" localSheetId="0">'2013 - 8760 Load'!#REF!</definedName>
    <definedName name="_Day875_IsWD" localSheetId="0">FALSE</definedName>
    <definedName name="_Day876" localSheetId="0">'2013 - 8760 Load'!#REF!</definedName>
    <definedName name="_Day876_IsWD" localSheetId="0">FALSE</definedName>
    <definedName name="_Day877" localSheetId="0">'2013 - 8760 Load'!#REF!</definedName>
    <definedName name="_Day877_IsWD" localSheetId="0">FALSE</definedName>
    <definedName name="_Day878" localSheetId="0">'2013 - 8760 Load'!#REF!</definedName>
    <definedName name="_Day878_IsWD" localSheetId="0">TRUE</definedName>
    <definedName name="_Day879" localSheetId="0">'2013 - 8760 Load'!#REF!</definedName>
    <definedName name="_Day879_IsWD" localSheetId="0">TRUE</definedName>
    <definedName name="_Day88" localSheetId="0">'2013 - 8760 Load'!#REF!</definedName>
    <definedName name="_Day88_IsWD" localSheetId="0">FALSE</definedName>
    <definedName name="_Day880" localSheetId="0">'2013 - 8760 Load'!#REF!</definedName>
    <definedName name="_Day880_IsWD" localSheetId="0">TRUE</definedName>
    <definedName name="_Day881" localSheetId="0">'2013 - 8760 Load'!#REF!</definedName>
    <definedName name="_Day881_IsWD" localSheetId="0">TRUE</definedName>
    <definedName name="_Day882" localSheetId="0">'2013 - 8760 Load'!#REF!</definedName>
    <definedName name="_Day882_IsWD" localSheetId="0">FALSE</definedName>
    <definedName name="_Day883" localSheetId="0">'2013 - 8760 Load'!#REF!</definedName>
    <definedName name="_Day883_IsWD" localSheetId="0">FALSE</definedName>
    <definedName name="_Day884" localSheetId="0">'2013 - 8760 Load'!#REF!</definedName>
    <definedName name="_Day884_IsWD" localSheetId="0">TRUE</definedName>
    <definedName name="_Day885" localSheetId="0">'2013 - 8760 Load'!#REF!</definedName>
    <definedName name="_Day885_IsWD" localSheetId="0">TRUE</definedName>
    <definedName name="_Day886" localSheetId="0">'2013 - 8760 Load'!#REF!</definedName>
    <definedName name="_Day886_IsWD" localSheetId="0">TRUE</definedName>
    <definedName name="_Day887" localSheetId="0">'2013 - 8760 Load'!#REF!</definedName>
    <definedName name="_Day887_IsWD" localSheetId="0">TRUE</definedName>
    <definedName name="_Day888" localSheetId="0">'2013 - 8760 Load'!#REF!</definedName>
    <definedName name="_Day888_IsWD" localSheetId="0">TRUE</definedName>
    <definedName name="_Day889" localSheetId="0">'2013 - 8760 Load'!#REF!</definedName>
    <definedName name="_Day889_IsWD" localSheetId="0">FALSE</definedName>
    <definedName name="_Day89" localSheetId="0">'2013 - 8760 Load'!#REF!</definedName>
    <definedName name="_Day89_IsWD" localSheetId="0">FALSE</definedName>
    <definedName name="_Day890" localSheetId="0">'2013 - 8760 Load'!#REF!</definedName>
    <definedName name="_Day890_IsWD" localSheetId="0">FALSE</definedName>
    <definedName name="_Day891" localSheetId="0">'2013 - 8760 Load'!#REF!</definedName>
    <definedName name="_Day891_IsWD" localSheetId="0">TRUE</definedName>
    <definedName name="_Day892" localSheetId="0">'2013 - 8760 Load'!#REF!</definedName>
    <definedName name="_Day892_IsWD" localSheetId="0">TRUE</definedName>
    <definedName name="_Day893" localSheetId="0">'2013 - 8760 Load'!#REF!</definedName>
    <definedName name="_Day893_IsWD" localSheetId="0">TRUE</definedName>
    <definedName name="_Day894" localSheetId="0">'2013 - 8760 Load'!#REF!</definedName>
    <definedName name="_Day894_IsWD" localSheetId="0">TRUE</definedName>
    <definedName name="_Day895" localSheetId="0">'2013 - 8760 Load'!#REF!</definedName>
    <definedName name="_Day895_IsWD" localSheetId="0">TRUE</definedName>
    <definedName name="_Day896" localSheetId="0">'2013 - 8760 Load'!#REF!</definedName>
    <definedName name="_Day896_IsWD" localSheetId="0">FALSE</definedName>
    <definedName name="_Day897" localSheetId="0">'2013 - 8760 Load'!#REF!</definedName>
    <definedName name="_Day897_IsWD" localSheetId="0">FALSE</definedName>
    <definedName name="_Day898" localSheetId="0">'2013 - 8760 Load'!#REF!</definedName>
    <definedName name="_Day898_IsWD" localSheetId="0">TRUE</definedName>
    <definedName name="_Day899" localSheetId="0">'2013 - 8760 Load'!#REF!</definedName>
    <definedName name="_Day899_IsWD" localSheetId="0">TRUE</definedName>
    <definedName name="_Day9" localSheetId="0">'2013 - 8760 Load'!#REF!</definedName>
    <definedName name="_Day9_IsWD" localSheetId="0">FALSE</definedName>
    <definedName name="_Day90" localSheetId="0">'2013 - 8760 Load'!#REF!</definedName>
    <definedName name="_Day90_IsWD" localSheetId="0">FALSE</definedName>
    <definedName name="_Day900" localSheetId="0">'2013 - 8760 Load'!#REF!</definedName>
    <definedName name="_Day900_IsWD" localSheetId="0">TRUE</definedName>
    <definedName name="_Day901" localSheetId="0">'2013 - 8760 Load'!#REF!</definedName>
    <definedName name="_Day901_IsWD" localSheetId="0">TRUE</definedName>
    <definedName name="_Day902" localSheetId="0">'2013 - 8760 Load'!#REF!</definedName>
    <definedName name="_Day902_IsWD" localSheetId="0">TRUE</definedName>
    <definedName name="_Day903" localSheetId="0">'2013 - 8760 Load'!#REF!</definedName>
    <definedName name="_Day903_IsWD" localSheetId="0">FALSE</definedName>
    <definedName name="_Day904" localSheetId="0">'2013 - 8760 Load'!#REF!</definedName>
    <definedName name="_Day904_IsWD" localSheetId="0">FALSE</definedName>
    <definedName name="_Day905" localSheetId="0">'2013 - 8760 Load'!#REF!</definedName>
    <definedName name="_Day905_IsWD" localSheetId="0">TRUE</definedName>
    <definedName name="_Day906" localSheetId="0">'2013 - 8760 Load'!#REF!</definedName>
    <definedName name="_Day906_IsWD" localSheetId="0">TRUE</definedName>
    <definedName name="_Day907" localSheetId="0">'2013 - 8760 Load'!#REF!</definedName>
    <definedName name="_Day907_IsWD" localSheetId="0">TRUE</definedName>
    <definedName name="_Day908" localSheetId="0">'2013 - 8760 Load'!#REF!</definedName>
    <definedName name="_Day908_IsWD" localSheetId="0">TRUE</definedName>
    <definedName name="_Day909" localSheetId="0">'2013 - 8760 Load'!#REF!</definedName>
    <definedName name="_Day909_IsWD" localSheetId="0">TRUE</definedName>
    <definedName name="_Day91" localSheetId="0">'2013 - 8760 Load'!#REF!</definedName>
    <definedName name="_Day91_IsWD" localSheetId="0">FALSE</definedName>
    <definedName name="_Day910" localSheetId="0">'2013 - 8760 Load'!#REF!</definedName>
    <definedName name="_Day910_IsWD" localSheetId="0">FALSE</definedName>
    <definedName name="_Day911" localSheetId="0">'2013 - 8760 Load'!#REF!</definedName>
    <definedName name="_Day911_IsWD" localSheetId="0">FALSE</definedName>
    <definedName name="_Day912" localSheetId="0">'2013 - 8760 Load'!#REF!</definedName>
    <definedName name="_Day912_IsWD" localSheetId="0">TRUE</definedName>
    <definedName name="_Day913" localSheetId="0">'2013 - 8760 Load'!#REF!</definedName>
    <definedName name="_Day913_IsWD" localSheetId="0">TRUE</definedName>
    <definedName name="_Day914" localSheetId="0">'2013 - 8760 Load'!#REF!</definedName>
    <definedName name="_Day914_IsWD" localSheetId="0">TRUE</definedName>
    <definedName name="_Day915" localSheetId="0">'2013 - 8760 Load'!#REF!</definedName>
    <definedName name="_Day915_IsWD" localSheetId="0">TRUE</definedName>
    <definedName name="_Day916" localSheetId="0">'2013 - 8760 Load'!#REF!</definedName>
    <definedName name="_Day916_IsWD" localSheetId="0">FALSE</definedName>
    <definedName name="_Day917" localSheetId="0">'2013 - 8760 Load'!#REF!</definedName>
    <definedName name="_Day917_IsWD" localSheetId="0">FALSE</definedName>
    <definedName name="_Day918" localSheetId="0">'2013 - 8760 Load'!#REF!</definedName>
    <definedName name="_Day918_IsWD" localSheetId="0">FALSE</definedName>
    <definedName name="_Day919" localSheetId="0">'2013 - 8760 Load'!#REF!</definedName>
    <definedName name="_Day919_IsWD" localSheetId="0">TRUE</definedName>
    <definedName name="_Day92" localSheetId="0">'2013 - 8760 Load'!#REF!</definedName>
    <definedName name="_Day92_IsWD" localSheetId="0">FALSE</definedName>
    <definedName name="_Day920" localSheetId="0">'2013 - 8760 Load'!#REF!</definedName>
    <definedName name="_Day920_IsWD" localSheetId="0">TRUE</definedName>
    <definedName name="_Day921" localSheetId="0">'2013 - 8760 Load'!#REF!</definedName>
    <definedName name="_Day921_IsWD" localSheetId="0">TRUE</definedName>
    <definedName name="_Day922" localSheetId="0">'2013 - 8760 Load'!#REF!</definedName>
    <definedName name="_Day922_IsWD" localSheetId="0">TRUE</definedName>
    <definedName name="_Day923" localSheetId="0">'2013 - 8760 Load'!#REF!</definedName>
    <definedName name="_Day923_IsWD" localSheetId="0">TRUE</definedName>
    <definedName name="_Day924" localSheetId="0">'2013 - 8760 Load'!#REF!</definedName>
    <definedName name="_Day924_IsWD" localSheetId="0">FALSE</definedName>
    <definedName name="_Day925" localSheetId="0">'2013 - 8760 Load'!#REF!</definedName>
    <definedName name="_Day925_IsWD" localSheetId="0">FALSE</definedName>
    <definedName name="_Day926" localSheetId="0">'2013 - 8760 Load'!#REF!</definedName>
    <definedName name="_Day926_IsWD" localSheetId="0">TRUE</definedName>
    <definedName name="_Day927" localSheetId="0">'2013 - 8760 Load'!#REF!</definedName>
    <definedName name="_Day927_IsWD" localSheetId="0">TRUE</definedName>
    <definedName name="_Day928" localSheetId="0">'2013 - 8760 Load'!#REF!</definedName>
    <definedName name="_Day928_IsWD" localSheetId="0">TRUE</definedName>
    <definedName name="_Day929" localSheetId="0">'2013 - 8760 Load'!#REF!</definedName>
    <definedName name="_Day929_IsWD" localSheetId="0">TRUE</definedName>
    <definedName name="_Day93" localSheetId="0">'2013 - 8760 Load'!#REF!</definedName>
    <definedName name="_Day93_IsWD" localSheetId="0">FALSE</definedName>
    <definedName name="_Day930" localSheetId="0">'2013 - 8760 Load'!#REF!</definedName>
    <definedName name="_Day930_IsWD" localSheetId="0">TRUE</definedName>
    <definedName name="_Day931" localSheetId="0">'2013 - 8760 Load'!#REF!</definedName>
    <definedName name="_Day931_IsWD" localSheetId="0">FALSE</definedName>
    <definedName name="_Day932" localSheetId="0">'2013 - 8760 Load'!#REF!</definedName>
    <definedName name="_Day932_IsWD" localSheetId="0">FALSE</definedName>
    <definedName name="_Day933" localSheetId="0">'2013 - 8760 Load'!#REF!</definedName>
    <definedName name="_Day933_IsWD" localSheetId="0">TRUE</definedName>
    <definedName name="_Day934" localSheetId="0">'2013 - 8760 Load'!#REF!</definedName>
    <definedName name="_Day934_IsWD" localSheetId="0">TRUE</definedName>
    <definedName name="_Day935" localSheetId="0">'2013 - 8760 Load'!#REF!</definedName>
    <definedName name="_Day935_IsWD" localSheetId="0">TRUE</definedName>
    <definedName name="_Day936" localSheetId="0">'2013 - 8760 Load'!#REF!</definedName>
    <definedName name="_Day936_IsWD" localSheetId="0">TRUE</definedName>
    <definedName name="_Day937" localSheetId="0">'2013 - 8760 Load'!#REF!</definedName>
    <definedName name="_Day937_IsWD" localSheetId="0">TRUE</definedName>
    <definedName name="_Day938" localSheetId="0">'2013 - 8760 Load'!#REF!</definedName>
    <definedName name="_Day938_IsWD" localSheetId="0">FALSE</definedName>
    <definedName name="_Day939" localSheetId="0">'2013 - 8760 Load'!#REF!</definedName>
    <definedName name="_Day939_IsWD" localSheetId="0">FALSE</definedName>
    <definedName name="_Day94" localSheetId="0">'2013 - 8760 Load'!#REF!</definedName>
    <definedName name="_Day94_IsWD" localSheetId="0">FALSE</definedName>
    <definedName name="_Day940" localSheetId="0">'2013 - 8760 Load'!#REF!</definedName>
    <definedName name="_Day940_IsWD" localSheetId="0">TRUE</definedName>
    <definedName name="_Day941" localSheetId="0">'2013 - 8760 Load'!#REF!</definedName>
    <definedName name="_Day941_IsWD" localSheetId="0">TRUE</definedName>
    <definedName name="_Day942" localSheetId="0">'2013 - 8760 Load'!#REF!</definedName>
    <definedName name="_Day942_IsWD" localSheetId="0">TRUE</definedName>
    <definedName name="_Day943" localSheetId="0">'2013 - 8760 Load'!#REF!</definedName>
    <definedName name="_Day943_IsWD" localSheetId="0">TRUE</definedName>
    <definedName name="_Day944" localSheetId="0">'2013 - 8760 Load'!#REF!</definedName>
    <definedName name="_Day944_IsWD" localSheetId="0">TRUE</definedName>
    <definedName name="_Day945" localSheetId="0">'2013 - 8760 Load'!#REF!</definedName>
    <definedName name="_Day945_IsWD" localSheetId="0">FALSE</definedName>
    <definedName name="_Day946" localSheetId="0">'2013 - 8760 Load'!#REF!</definedName>
    <definedName name="_Day946_IsWD" localSheetId="0">FALSE</definedName>
    <definedName name="_Day947" localSheetId="0">'2013 - 8760 Load'!#REF!</definedName>
    <definedName name="_Day947_IsWD" localSheetId="0">TRUE</definedName>
    <definedName name="_Day948" localSheetId="0">'2013 - 8760 Load'!#REF!</definedName>
    <definedName name="_Day948_IsWD" localSheetId="0">TRUE</definedName>
    <definedName name="_Day949" localSheetId="0">'2013 - 8760 Load'!#REF!</definedName>
    <definedName name="_Day949_IsWD" localSheetId="0">TRUE</definedName>
    <definedName name="_Day95" localSheetId="0">'2013 - 8760 Load'!#REF!</definedName>
    <definedName name="_Day95_IsWD" localSheetId="0">FALSE</definedName>
    <definedName name="_Day950" localSheetId="0">'2013 - 8760 Load'!#REF!</definedName>
    <definedName name="_Day950_IsWD" localSheetId="0">TRUE</definedName>
    <definedName name="_Day951" localSheetId="0">'2013 - 8760 Load'!#REF!</definedName>
    <definedName name="_Day951_IsWD" localSheetId="0">TRUE</definedName>
    <definedName name="_Day952" localSheetId="0">'2013 - 8760 Load'!#REF!</definedName>
    <definedName name="_Day952_IsWD" localSheetId="0">FALSE</definedName>
    <definedName name="_Day953" localSheetId="0">'2013 - 8760 Load'!#REF!</definedName>
    <definedName name="_Day953_IsWD" localSheetId="0">FALSE</definedName>
    <definedName name="_Day954" localSheetId="0">'2013 - 8760 Load'!#REF!</definedName>
    <definedName name="_Day954_IsWD" localSheetId="0">TRUE</definedName>
    <definedName name="_Day955" localSheetId="0">'2013 - 8760 Load'!#REF!</definedName>
    <definedName name="_Day955_IsWD" localSheetId="0">TRUE</definedName>
    <definedName name="_Day956" localSheetId="0">'2013 - 8760 Load'!#REF!</definedName>
    <definedName name="_Day956_IsWD" localSheetId="0">TRUE</definedName>
    <definedName name="_Day957" localSheetId="0">'2013 - 8760 Load'!#REF!</definedName>
    <definedName name="_Day957_IsWD" localSheetId="0">TRUE</definedName>
    <definedName name="_Day958" localSheetId="0">'2013 - 8760 Load'!#REF!</definedName>
    <definedName name="_Day958_IsWD" localSheetId="0">TRUE</definedName>
    <definedName name="_Day959" localSheetId="0">'2013 - 8760 Load'!#REF!</definedName>
    <definedName name="_Day959_IsWD" localSheetId="0">FALSE</definedName>
    <definedName name="_Day96" localSheetId="0">'2013 - 8760 Load'!#REF!</definedName>
    <definedName name="_Day96_IsWD" localSheetId="0">FALSE</definedName>
    <definedName name="_Day960" localSheetId="0">'2013 - 8760 Load'!#REF!</definedName>
    <definedName name="_Day960_IsWD" localSheetId="0">FALSE</definedName>
    <definedName name="_Day961" localSheetId="0">'2013 - 8760 Load'!#REF!</definedName>
    <definedName name="_Day961_IsWD" localSheetId="0">TRUE</definedName>
    <definedName name="_Day962" localSheetId="0">'2013 - 8760 Load'!#REF!</definedName>
    <definedName name="_Day962_IsWD" localSheetId="0">TRUE</definedName>
    <definedName name="_Day963" localSheetId="0">'2013 - 8760 Load'!#REF!</definedName>
    <definedName name="_Day963_IsWD" localSheetId="0">TRUE</definedName>
    <definedName name="_Day964" localSheetId="0">'2013 - 8760 Load'!#REF!</definedName>
    <definedName name="_Day964_IsWD" localSheetId="0">TRUE</definedName>
    <definedName name="_Day965" localSheetId="0">'2013 - 8760 Load'!#REF!</definedName>
    <definedName name="_Day965_IsWD" localSheetId="0">TRUE</definedName>
    <definedName name="_Day966" localSheetId="0">'2013 - 8760 Load'!#REF!</definedName>
    <definedName name="_Day966_IsWD" localSheetId="0">FALSE</definedName>
    <definedName name="_Day967" localSheetId="0">'2013 - 8760 Load'!#REF!</definedName>
    <definedName name="_Day967_IsWD" localSheetId="0">FALSE</definedName>
    <definedName name="_Day968" localSheetId="0">'2013 - 8760 Load'!#REF!</definedName>
    <definedName name="_Day968_IsWD" localSheetId="0">TRUE</definedName>
    <definedName name="_Day969" localSheetId="0">'2013 - 8760 Load'!#REF!</definedName>
    <definedName name="_Day969_IsWD" localSheetId="0">TRUE</definedName>
    <definedName name="_Day97" localSheetId="0">'2013 - 8760 Load'!#REF!</definedName>
    <definedName name="_Day97_IsWD" localSheetId="0">FALSE</definedName>
    <definedName name="_Day970" localSheetId="0">'2013 - 8760 Load'!#REF!</definedName>
    <definedName name="_Day970_IsWD" localSheetId="0">TRUE</definedName>
    <definedName name="_Day971" localSheetId="0">'2013 - 8760 Load'!#REF!</definedName>
    <definedName name="_Day971_IsWD" localSheetId="0">TRUE</definedName>
    <definedName name="_Day972" localSheetId="0">'2013 - 8760 Load'!#REF!</definedName>
    <definedName name="_Day972_IsWD" localSheetId="0">TRUE</definedName>
    <definedName name="_Day973" localSheetId="0">'2013 - 8760 Load'!#REF!</definedName>
    <definedName name="_Day973_IsWD" localSheetId="0">FALSE</definedName>
    <definedName name="_Day974" localSheetId="0">'2013 - 8760 Load'!#REF!</definedName>
    <definedName name="_Day974_IsWD" localSheetId="0">FALSE</definedName>
    <definedName name="_Day975" localSheetId="0">'2013 - 8760 Load'!#REF!</definedName>
    <definedName name="_Day975_IsWD" localSheetId="0">FALSE</definedName>
    <definedName name="_Day976" localSheetId="0">'2013 - 8760 Load'!#REF!</definedName>
    <definedName name="_Day976_IsWD" localSheetId="0">TRUE</definedName>
    <definedName name="_Day977" localSheetId="0">'2013 - 8760 Load'!#REF!</definedName>
    <definedName name="_Day977_IsWD" localSheetId="0">TRUE</definedName>
    <definedName name="_Day978" localSheetId="0">'2013 - 8760 Load'!#REF!</definedName>
    <definedName name="_Day978_IsWD" localSheetId="0">TRUE</definedName>
    <definedName name="_Day979" localSheetId="0">'2013 - 8760 Load'!#REF!</definedName>
    <definedName name="_Day979_IsWD" localSheetId="0">TRUE</definedName>
    <definedName name="_Day98" localSheetId="0">'2013 - 8760 Load'!#REF!</definedName>
    <definedName name="_Day98_IsWD" localSheetId="0">FALSE</definedName>
    <definedName name="_Day980" localSheetId="0">'2013 - 8760 Load'!#REF!</definedName>
    <definedName name="_Day980_IsWD" localSheetId="0">FALSE</definedName>
    <definedName name="_Day981" localSheetId="0">'2013 - 8760 Load'!#REF!</definedName>
    <definedName name="_Day981_IsWD" localSheetId="0">FALSE</definedName>
    <definedName name="_Day982" localSheetId="0">'2013 - 8760 Load'!#REF!</definedName>
    <definedName name="_Day982_IsWD" localSheetId="0">TRUE</definedName>
    <definedName name="_Day983" localSheetId="0">'2013 - 8760 Load'!#REF!</definedName>
    <definedName name="_Day983_IsWD" localSheetId="0">TRUE</definedName>
    <definedName name="_Day984" localSheetId="0">'2013 - 8760 Load'!#REF!</definedName>
    <definedName name="_Day984_IsWD" localSheetId="0">TRUE</definedName>
    <definedName name="_Day985" localSheetId="0">'2013 - 8760 Load'!#REF!</definedName>
    <definedName name="_Day985_IsWD" localSheetId="0">TRUE</definedName>
    <definedName name="_Day986" localSheetId="0">'2013 - 8760 Load'!#REF!</definedName>
    <definedName name="_Day986_IsWD" localSheetId="0">TRUE</definedName>
    <definedName name="_Day987" localSheetId="0">'2013 - 8760 Load'!#REF!</definedName>
    <definedName name="_Day987_IsWD" localSheetId="0">FALSE</definedName>
    <definedName name="_Day988" localSheetId="0">'2013 - 8760 Load'!#REF!</definedName>
    <definedName name="_Day988_IsWD" localSheetId="0">FALSE</definedName>
    <definedName name="_Day989" localSheetId="0">'2013 - 8760 Load'!#REF!</definedName>
    <definedName name="_Day989_IsWD" localSheetId="0">TRUE</definedName>
    <definedName name="_Day99" localSheetId="0">'2013 - 8760 Load'!#REF!</definedName>
    <definedName name="_Day99_IsWD" localSheetId="0">FALSE</definedName>
    <definedName name="_Day990" localSheetId="0">'2013 - 8760 Load'!#REF!</definedName>
    <definedName name="_Day990_IsWD" localSheetId="0">TRUE</definedName>
    <definedName name="_Day991" localSheetId="0">'2013 - 8760 Load'!#REF!</definedName>
    <definedName name="_Day991_IsWD" localSheetId="0">TRUE</definedName>
    <definedName name="_Day992" localSheetId="0">'2013 - 8760 Load'!#REF!</definedName>
    <definedName name="_Day992_IsWD" localSheetId="0">TRUE</definedName>
    <definedName name="_Day993" localSheetId="0">'2013 - 8760 Load'!#REF!</definedName>
    <definedName name="_Day993_IsWD" localSheetId="0">TRUE</definedName>
    <definedName name="_Day994" localSheetId="0">'2013 - 8760 Load'!#REF!</definedName>
    <definedName name="_Day994_IsWD" localSheetId="0">FALSE</definedName>
    <definedName name="_Day995" localSheetId="0">'2013 - 8760 Load'!#REF!</definedName>
    <definedName name="_Day995_IsWD" localSheetId="0">FALSE</definedName>
    <definedName name="_Day996" localSheetId="0">'2013 - 8760 Load'!#REF!</definedName>
    <definedName name="_Day996_IsWD" localSheetId="0">TRUE</definedName>
    <definedName name="_Day997" localSheetId="0">'2013 - 8760 Load'!#REF!</definedName>
    <definedName name="_Day997_IsWD" localSheetId="0">TRUE</definedName>
    <definedName name="_Day998" localSheetId="0">'2013 - 8760 Load'!#REF!</definedName>
    <definedName name="_Day998_IsWD" localSheetId="0">TRUE</definedName>
    <definedName name="_Day999" localSheetId="0">'2013 - 8760 Load'!#REF!</definedName>
    <definedName name="_Day999_IsWD" localSheetId="0">TRUE</definedName>
    <definedName name="AccountString" localSheetId="0">"Customer Account = ORUE00001202, MONGAUP / Chan2"</definedName>
    <definedName name="ControlSheet" localSheetId="0">"Sheet1"</definedName>
    <definedName name="DailyConsumption" localSheetId="0">'2013 - 8760 Load'!$B$8:$B$372</definedName>
    <definedName name="dateFromDateTime" localSheetId="0">40909</definedName>
    <definedName name="Dates" localSheetId="0">'2013 - 8760 Load'!$A$8:$A$372</definedName>
    <definedName name="dateToDateTime" localSheetId="0">42005</definedName>
    <definedName name="ExcelVersion" localSheetId="0">14</definedName>
    <definedName name="iIntlen" localSheetId="0">60</definedName>
    <definedName name="IntervalCount" localSheetId="0">26304</definedName>
    <definedName name="isProfileBook">TRUE</definedName>
    <definedName name="isProfileSheet" localSheetId="0">TRUE</definedName>
    <definedName name="LPDSDate" localSheetId="0">"'2/16/2015 12:20:07 PM'"</definedName>
    <definedName name="NumDays" localSheetId="0">1096</definedName>
    <definedName name="PR" localSheetId="0">'2013 - 8760 Load'!$C$8:$Z$372</definedName>
    <definedName name="Profile" localSheetId="0">'2013 - 8760 Load'!$C$8:$Z$372</definedName>
    <definedName name="ProfileRect" localSheetId="0">'2013 - 8760 Load'!$C$8:$Z$372</definedName>
    <definedName name="STDTimeRequested" localSheetId="0">TRUE</definedName>
    <definedName name="TimeHead1" localSheetId="0">'2013 - 8760 Load'!$C$6:$Z$6</definedName>
    <definedName name="TimeHead2" localSheetId="0">'2013 - 8760 Load'!$C$7:$Z$7</definedName>
    <definedName name="TotalConsumption" localSheetId="0">'2013 - 8760 Load'!$B$373</definedName>
  </definedNames>
  <calcPr calcId="145621"/>
</workbook>
</file>

<file path=xl/calcChain.xml><?xml version="1.0" encoding="utf-8"?>
<calcChain xmlns="http://schemas.openxmlformats.org/spreadsheetml/2006/main">
  <c r="B372" i="4" l="1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373" i="4" l="1"/>
</calcChain>
</file>

<file path=xl/sharedStrings.xml><?xml version="1.0" encoding="utf-8"?>
<sst xmlns="http://schemas.openxmlformats.org/spreadsheetml/2006/main" count="7" uniqueCount="6">
  <si>
    <t>KW</t>
  </si>
  <si>
    <t>Daily</t>
  </si>
  <si>
    <t>Consumption</t>
  </si>
  <si>
    <t>Total</t>
  </si>
  <si>
    <t>Mongaup Area Station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</si>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</sst>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* mm/dd/yy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0" fontId="2" fillId="0" borderId="0" xfId="0" applyFont="1"/>
    <xf numFmtId="2" fontId="3" fillId="0" borderId="0" xfId="0" applyNumberFormat="1" applyFo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Mongaup Area</a:t>
            </a:r>
            <a:r>
              <a:rPr lang="en-US" baseline="0"/>
              <a:t> Station </a:t>
            </a:r>
            <a:r>
              <a:rPr lang="en-US"/>
              <a:t>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Load Day</c:v>
          </c:tx>
          <c:marker>
            <c:symbol val="none"/>
          </c:marker>
          <c:cat>
            <c:numRef>
              <c:f>'2015 - 24-Hr Minimum Day Curve'!$A$2:$A$25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'2015 - 24-Hr Minimum Day Curve'!$B$2:$B$25</c:f>
              <c:numCache>
                <c:formatCode>General</c:formatCode>
                <c:ptCount val="24"/>
                <c:pt idx="0">
                  <c:v>462</c:v>
                </c:pt>
                <c:pt idx="1">
                  <c:v>452.76</c:v>
                </c:pt>
                <c:pt idx="2">
                  <c:v>453.18</c:v>
                </c:pt>
                <c:pt idx="3">
                  <c:v>455.28</c:v>
                </c:pt>
                <c:pt idx="4">
                  <c:v>473.76</c:v>
                </c:pt>
                <c:pt idx="5">
                  <c:v>498.54</c:v>
                </c:pt>
                <c:pt idx="6">
                  <c:v>524.58000000000004</c:v>
                </c:pt>
                <c:pt idx="7">
                  <c:v>574.14</c:v>
                </c:pt>
                <c:pt idx="8">
                  <c:v>576.66</c:v>
                </c:pt>
                <c:pt idx="9">
                  <c:v>569.94000000000005</c:v>
                </c:pt>
                <c:pt idx="10">
                  <c:v>563.64</c:v>
                </c:pt>
                <c:pt idx="11">
                  <c:v>542.22</c:v>
                </c:pt>
                <c:pt idx="12">
                  <c:v>534.24</c:v>
                </c:pt>
                <c:pt idx="13">
                  <c:v>530.04</c:v>
                </c:pt>
                <c:pt idx="14">
                  <c:v>524.16</c:v>
                </c:pt>
                <c:pt idx="15">
                  <c:v>523.74</c:v>
                </c:pt>
                <c:pt idx="16">
                  <c:v>545.16</c:v>
                </c:pt>
                <c:pt idx="17">
                  <c:v>563.22</c:v>
                </c:pt>
                <c:pt idx="18">
                  <c:v>585.9</c:v>
                </c:pt>
                <c:pt idx="19">
                  <c:v>614.88</c:v>
                </c:pt>
                <c:pt idx="20">
                  <c:v>610.67999999999995</c:v>
                </c:pt>
                <c:pt idx="21">
                  <c:v>561.12</c:v>
                </c:pt>
                <c:pt idx="22">
                  <c:v>514.91999999999996</c:v>
                </c:pt>
                <c:pt idx="23">
                  <c:v>507.36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69568"/>
        <c:axId val="171615744"/>
      </c:lineChart>
      <c:catAx>
        <c:axId val="169069568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171615744"/>
        <c:crosses val="autoZero"/>
        <c:auto val="1"/>
        <c:lblAlgn val="ctr"/>
        <c:lblOffset val="100"/>
        <c:noMultiLvlLbl val="0"/>
      </c:catAx>
      <c:valAx>
        <c:axId val="171615744"/>
        <c:scaling>
          <c:orientation val="minMax"/>
          <c:max val="700"/>
          <c:min val="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9069568"/>
        <c:crosses val="autoZero"/>
        <c:crossBetween val="between"/>
        <c:majorUnit val="1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15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446553</xdr:colOff>
      <xdr:row>30</xdr:row>
      <xdr:rowOff>151691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980953" cy="5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3"/>
  <sheetViews>
    <sheetView workbookViewId="0">
      <pane ySplit="2400" activePane="bottomLeft"/>
      <selection pane="bottomLeft" activeCell="Y376" sqref="Y376"/>
    </sheetView>
  </sheetViews>
  <sheetFormatPr defaultRowHeight="15" x14ac:dyDescent="0.25"/>
  <cols>
    <col min="1" max="1" width="13.28515625" customWidth="1"/>
    <col min="2" max="2" width="9.85546875" bestFit="1" customWidth="1"/>
    <col min="3" max="8" width="6.140625" bestFit="1" customWidth="1"/>
    <col min="9" max="26" width="7" bestFit="1" customWidth="1"/>
  </cols>
  <sheetData>
    <row r="1" spans="1:26" x14ac:dyDescent="0.25">
      <c r="A1" s="7" t="s">
        <v>4</v>
      </c>
      <c r="C1" t="s">
        <v>0</v>
      </c>
    </row>
    <row r="2" spans="1:26" x14ac:dyDescent="0.25">
      <c r="A2" s="1"/>
    </row>
    <row r="3" spans="1:26" x14ac:dyDescent="0.25">
      <c r="A3" s="1"/>
    </row>
    <row r="6" spans="1:26" x14ac:dyDescent="0.25">
      <c r="B6" s="2" t="s">
        <v>1</v>
      </c>
      <c r="C6" s="3">
        <v>0</v>
      </c>
      <c r="D6" s="3">
        <v>4.1666666666666664E-2</v>
      </c>
      <c r="E6" s="3">
        <v>8.3333333333333329E-2</v>
      </c>
      <c r="F6" s="3">
        <v>0.125</v>
      </c>
      <c r="G6" s="3">
        <v>0.16666666666666666</v>
      </c>
      <c r="H6" s="3">
        <v>0.20833333333333334</v>
      </c>
      <c r="I6" s="3">
        <v>0.25</v>
      </c>
      <c r="J6" s="3">
        <v>0.29166666666666669</v>
      </c>
      <c r="K6" s="3">
        <v>0.33333333333333331</v>
      </c>
      <c r="L6" s="3">
        <v>0.375</v>
      </c>
      <c r="M6" s="3">
        <v>0.41666666666666669</v>
      </c>
      <c r="N6" s="3">
        <v>0.45833333333333331</v>
      </c>
      <c r="O6" s="3">
        <v>0.5</v>
      </c>
      <c r="P6" s="3">
        <v>0.54166666666666663</v>
      </c>
      <c r="Q6" s="3">
        <v>0.58333333333333337</v>
      </c>
      <c r="R6" s="3">
        <v>0.625</v>
      </c>
      <c r="S6" s="3">
        <v>0.66666666666666663</v>
      </c>
      <c r="T6" s="3">
        <v>0.70833333333333337</v>
      </c>
      <c r="U6" s="3">
        <v>0.75</v>
      </c>
      <c r="V6" s="3">
        <v>0.79166666666666663</v>
      </c>
      <c r="W6" s="3">
        <v>0.83333333333333337</v>
      </c>
      <c r="X6" s="3">
        <v>0.875</v>
      </c>
      <c r="Y6" s="3">
        <v>0.91666666666666663</v>
      </c>
      <c r="Z6" s="3">
        <v>0.95833333333333337</v>
      </c>
    </row>
    <row r="7" spans="1:26" x14ac:dyDescent="0.25">
      <c r="B7" s="2" t="s">
        <v>2</v>
      </c>
      <c r="C7" s="3">
        <v>4.1666666666666664E-2</v>
      </c>
      <c r="D7" s="3">
        <v>8.3333333333333329E-2</v>
      </c>
      <c r="E7" s="3">
        <v>0.125</v>
      </c>
      <c r="F7" s="3">
        <v>0.16666666666666666</v>
      </c>
      <c r="G7" s="3">
        <v>0.20833333333333334</v>
      </c>
      <c r="H7" s="3">
        <v>0.25</v>
      </c>
      <c r="I7" s="3">
        <v>0.29166666666666669</v>
      </c>
      <c r="J7" s="3">
        <v>0.33333333333333331</v>
      </c>
      <c r="K7" s="3">
        <v>0.375</v>
      </c>
      <c r="L7" s="3">
        <v>0.41666666666666669</v>
      </c>
      <c r="M7" s="3">
        <v>0.45833333333333331</v>
      </c>
      <c r="N7" s="3">
        <v>0.5</v>
      </c>
      <c r="O7" s="3">
        <v>0.54166666666666663</v>
      </c>
      <c r="P7" s="3">
        <v>0.58333333333333337</v>
      </c>
      <c r="Q7" s="3">
        <v>0.625</v>
      </c>
      <c r="R7" s="3">
        <v>0.66666666666666663</v>
      </c>
      <c r="S7" s="3">
        <v>0.70833333333333337</v>
      </c>
      <c r="T7" s="3">
        <v>0.75</v>
      </c>
      <c r="U7" s="3">
        <v>0.79166666666666663</v>
      </c>
      <c r="V7" s="3">
        <v>0.83333333333333337</v>
      </c>
      <c r="W7" s="3">
        <v>0.875</v>
      </c>
      <c r="X7" s="3">
        <v>0.91666666666666663</v>
      </c>
      <c r="Y7" s="3">
        <v>0.95833333333333337</v>
      </c>
      <c r="Z7" s="3">
        <v>0</v>
      </c>
    </row>
    <row r="8" spans="1:26" x14ac:dyDescent="0.25">
      <c r="A8" s="4">
        <v>41275</v>
      </c>
      <c r="B8" s="5">
        <f>SUM('2013 - 8760 Load'!_Day367)</f>
        <v>19738.739999999998</v>
      </c>
      <c r="C8" s="8">
        <v>792.12</v>
      </c>
      <c r="D8" s="8">
        <v>731.64</v>
      </c>
      <c r="E8" s="8">
        <v>704.76</v>
      </c>
      <c r="F8" s="8">
        <v>684.6</v>
      </c>
      <c r="G8" s="8">
        <v>655.20000000000005</v>
      </c>
      <c r="H8" s="8">
        <v>686.7</v>
      </c>
      <c r="I8" s="8">
        <v>694.26</v>
      </c>
      <c r="J8" s="8">
        <v>719.88</v>
      </c>
      <c r="K8" s="8">
        <v>755.58</v>
      </c>
      <c r="L8" s="8">
        <v>828.66</v>
      </c>
      <c r="M8" s="8">
        <v>871.92</v>
      </c>
      <c r="N8" s="8">
        <v>856.38</v>
      </c>
      <c r="O8" s="8">
        <v>870.66</v>
      </c>
      <c r="P8" s="8">
        <v>846.72</v>
      </c>
      <c r="Q8" s="8">
        <v>851.34</v>
      </c>
      <c r="R8" s="8">
        <v>835.38</v>
      </c>
      <c r="S8" s="8">
        <v>869.4</v>
      </c>
      <c r="T8" s="8">
        <v>975.24</v>
      </c>
      <c r="U8" s="8">
        <v>998.34</v>
      </c>
      <c r="V8" s="8">
        <v>995.4</v>
      </c>
      <c r="W8" s="8">
        <v>971.04</v>
      </c>
      <c r="X8" s="8">
        <v>895.02</v>
      </c>
      <c r="Y8" s="8">
        <v>845.46</v>
      </c>
      <c r="Z8" s="8">
        <v>803.04</v>
      </c>
    </row>
    <row r="9" spans="1:26" x14ac:dyDescent="0.25">
      <c r="A9" s="4">
        <v>41276</v>
      </c>
      <c r="B9" s="5">
        <f>SUM('2013 - 8760 Load'!_Day368)</f>
        <v>20322.54</v>
      </c>
      <c r="C9" s="8">
        <v>753.9</v>
      </c>
      <c r="D9" s="8">
        <v>737.94</v>
      </c>
      <c r="E9" s="8">
        <v>734.58</v>
      </c>
      <c r="F9" s="8">
        <v>724.08</v>
      </c>
      <c r="G9" s="8">
        <v>741.72</v>
      </c>
      <c r="H9" s="8">
        <v>791.7</v>
      </c>
      <c r="I9" s="8">
        <v>861</v>
      </c>
      <c r="J9" s="8">
        <v>879.9</v>
      </c>
      <c r="K9" s="8">
        <v>848.82</v>
      </c>
      <c r="L9" s="8">
        <v>831.6</v>
      </c>
      <c r="M9" s="8">
        <v>843.36</v>
      </c>
      <c r="N9" s="8">
        <v>824.46</v>
      </c>
      <c r="O9" s="8">
        <v>818.58</v>
      </c>
      <c r="P9" s="8">
        <v>797.58</v>
      </c>
      <c r="Q9" s="8">
        <v>767.34</v>
      </c>
      <c r="R9" s="8">
        <v>792.12</v>
      </c>
      <c r="S9" s="8">
        <v>890.82</v>
      </c>
      <c r="T9" s="8">
        <v>1038.24</v>
      </c>
      <c r="U9" s="8">
        <v>1049.58</v>
      </c>
      <c r="V9" s="8">
        <v>1013.46</v>
      </c>
      <c r="W9" s="8">
        <v>976.5</v>
      </c>
      <c r="X9" s="8">
        <v>918.12</v>
      </c>
      <c r="Y9" s="8">
        <v>873.18</v>
      </c>
      <c r="Z9" s="8">
        <v>813.96</v>
      </c>
    </row>
    <row r="10" spans="1:26" x14ac:dyDescent="0.25">
      <c r="A10" s="4">
        <v>41277</v>
      </c>
      <c r="B10" s="5">
        <f>SUM('2013 - 8760 Load'!_Day369)</f>
        <v>19645.920000000002</v>
      </c>
      <c r="C10" s="8">
        <v>756.42</v>
      </c>
      <c r="D10" s="8">
        <v>757.68</v>
      </c>
      <c r="E10" s="8">
        <v>742.56</v>
      </c>
      <c r="F10" s="8">
        <v>728.7</v>
      </c>
      <c r="G10" s="8">
        <v>744.24</v>
      </c>
      <c r="H10" s="8">
        <v>815.64</v>
      </c>
      <c r="I10" s="8">
        <v>849.66</v>
      </c>
      <c r="J10" s="8">
        <v>850.08</v>
      </c>
      <c r="K10" s="8">
        <v>801.36</v>
      </c>
      <c r="L10" s="8">
        <v>797.16</v>
      </c>
      <c r="M10" s="8">
        <v>805.14</v>
      </c>
      <c r="N10" s="8">
        <v>761.88</v>
      </c>
      <c r="O10" s="8">
        <v>754.74</v>
      </c>
      <c r="P10" s="8">
        <v>749.28</v>
      </c>
      <c r="Q10" s="8">
        <v>728.7</v>
      </c>
      <c r="R10" s="8">
        <v>747.6</v>
      </c>
      <c r="S10" s="8">
        <v>816.06</v>
      </c>
      <c r="T10" s="8">
        <v>986.58</v>
      </c>
      <c r="U10" s="8">
        <v>975.24</v>
      </c>
      <c r="V10" s="8">
        <v>998.76</v>
      </c>
      <c r="W10" s="8">
        <v>969.36</v>
      </c>
      <c r="X10" s="8">
        <v>905.52</v>
      </c>
      <c r="Y10" s="8">
        <v>835.38</v>
      </c>
      <c r="Z10" s="8">
        <v>768.18</v>
      </c>
    </row>
    <row r="11" spans="1:26" x14ac:dyDescent="0.25">
      <c r="A11" s="4">
        <v>41278</v>
      </c>
      <c r="B11" s="5">
        <f>SUM('2013 - 8760 Load'!_Day370)</f>
        <v>18855.059999999998</v>
      </c>
      <c r="C11" s="8">
        <v>724.5</v>
      </c>
      <c r="D11" s="8">
        <v>686.28</v>
      </c>
      <c r="E11" s="8">
        <v>685.44</v>
      </c>
      <c r="F11" s="8">
        <v>674.1</v>
      </c>
      <c r="G11" s="8">
        <v>684.18</v>
      </c>
      <c r="H11" s="8">
        <v>730.38</v>
      </c>
      <c r="I11" s="8">
        <v>775.74</v>
      </c>
      <c r="J11" s="8">
        <v>793.38</v>
      </c>
      <c r="K11" s="8">
        <v>765.66</v>
      </c>
      <c r="L11" s="8">
        <v>759.78</v>
      </c>
      <c r="M11" s="8">
        <v>753.9</v>
      </c>
      <c r="N11" s="8">
        <v>739.62</v>
      </c>
      <c r="O11" s="8">
        <v>733.74</v>
      </c>
      <c r="P11" s="8">
        <v>717.36</v>
      </c>
      <c r="Q11" s="8">
        <v>737.52</v>
      </c>
      <c r="R11" s="8">
        <v>768.6</v>
      </c>
      <c r="S11" s="8">
        <v>817.74</v>
      </c>
      <c r="T11" s="8">
        <v>951.3</v>
      </c>
      <c r="U11" s="8">
        <v>965.58</v>
      </c>
      <c r="V11" s="8">
        <v>919.38</v>
      </c>
      <c r="W11" s="8">
        <v>926.94</v>
      </c>
      <c r="X11" s="8">
        <v>909.72</v>
      </c>
      <c r="Y11" s="8">
        <v>856.8</v>
      </c>
      <c r="Z11" s="8">
        <v>777.42</v>
      </c>
    </row>
    <row r="12" spans="1:26" x14ac:dyDescent="0.25">
      <c r="A12" s="4">
        <v>41279</v>
      </c>
      <c r="B12" s="5">
        <f>SUM('2013 - 8760 Load'!_Day371)</f>
        <v>19287.239999999994</v>
      </c>
      <c r="C12" s="8">
        <v>736.26</v>
      </c>
      <c r="D12" s="8">
        <v>706.86</v>
      </c>
      <c r="E12" s="8">
        <v>684.6</v>
      </c>
      <c r="F12" s="8">
        <v>671.16</v>
      </c>
      <c r="G12" s="8">
        <v>672.42</v>
      </c>
      <c r="H12" s="8">
        <v>683.76</v>
      </c>
      <c r="I12" s="8">
        <v>712.32</v>
      </c>
      <c r="J12" s="8">
        <v>754.74</v>
      </c>
      <c r="K12" s="8">
        <v>779.52</v>
      </c>
      <c r="L12" s="8">
        <v>775.32</v>
      </c>
      <c r="M12" s="8">
        <v>794.22</v>
      </c>
      <c r="N12" s="8">
        <v>780.78</v>
      </c>
      <c r="O12" s="8">
        <v>793.8</v>
      </c>
      <c r="P12" s="8">
        <v>771.96</v>
      </c>
      <c r="Q12" s="8">
        <v>793.8</v>
      </c>
      <c r="R12" s="8">
        <v>827.82</v>
      </c>
      <c r="S12" s="8">
        <v>858.9</v>
      </c>
      <c r="T12" s="8">
        <v>982.38</v>
      </c>
      <c r="U12" s="8">
        <v>1014.72</v>
      </c>
      <c r="V12" s="8">
        <v>951.72</v>
      </c>
      <c r="W12" s="8">
        <v>940.8</v>
      </c>
      <c r="X12" s="8">
        <v>924.84</v>
      </c>
      <c r="Y12" s="8">
        <v>868.14</v>
      </c>
      <c r="Z12" s="8">
        <v>806.4</v>
      </c>
    </row>
    <row r="13" spans="1:26" x14ac:dyDescent="0.25">
      <c r="A13" s="4">
        <v>41280</v>
      </c>
      <c r="B13" s="5">
        <f>SUM('2013 - 8760 Load'!_Day372)</f>
        <v>18302.34</v>
      </c>
      <c r="C13" s="8">
        <v>742.98</v>
      </c>
      <c r="D13" s="8">
        <v>706.44</v>
      </c>
      <c r="E13" s="8">
        <v>663.6</v>
      </c>
      <c r="F13" s="8">
        <v>655.20000000000005</v>
      </c>
      <c r="G13" s="8">
        <v>659.4</v>
      </c>
      <c r="H13" s="8">
        <v>672.84</v>
      </c>
      <c r="I13" s="8">
        <v>690.9</v>
      </c>
      <c r="J13" s="8">
        <v>736.68</v>
      </c>
      <c r="K13" s="8">
        <v>801.36</v>
      </c>
      <c r="L13" s="8">
        <v>827.4</v>
      </c>
      <c r="M13" s="8">
        <v>790.44</v>
      </c>
      <c r="N13" s="8">
        <v>798</v>
      </c>
      <c r="O13" s="8">
        <v>767.76</v>
      </c>
      <c r="P13" s="8">
        <v>747.18</v>
      </c>
      <c r="Q13" s="8">
        <v>751.8</v>
      </c>
      <c r="R13" s="8">
        <v>771.54</v>
      </c>
      <c r="S13" s="8">
        <v>810.6</v>
      </c>
      <c r="T13" s="8">
        <v>892.92</v>
      </c>
      <c r="U13" s="8">
        <v>880.32</v>
      </c>
      <c r="V13" s="8">
        <v>885.78</v>
      </c>
      <c r="W13" s="8">
        <v>836.22</v>
      </c>
      <c r="X13" s="8">
        <v>781.62</v>
      </c>
      <c r="Y13" s="8">
        <v>734.16</v>
      </c>
      <c r="Z13" s="8">
        <v>697.2</v>
      </c>
    </row>
    <row r="14" spans="1:26" x14ac:dyDescent="0.25">
      <c r="A14" s="4">
        <v>41281</v>
      </c>
      <c r="B14" s="5">
        <f>SUM('2013 - 8760 Load'!_Day373)</f>
        <v>16825.199999999997</v>
      </c>
      <c r="C14" s="8">
        <v>630.41999999999996</v>
      </c>
      <c r="D14" s="8">
        <v>619.91999999999996</v>
      </c>
      <c r="E14" s="8">
        <v>608.16</v>
      </c>
      <c r="F14" s="8">
        <v>611.1</v>
      </c>
      <c r="G14" s="8">
        <v>610.67999999999995</v>
      </c>
      <c r="H14" s="8">
        <v>654.36</v>
      </c>
      <c r="I14" s="8">
        <v>717.78</v>
      </c>
      <c r="J14" s="8">
        <v>714.84</v>
      </c>
      <c r="K14" s="8">
        <v>696.78</v>
      </c>
      <c r="L14" s="8">
        <v>664.02</v>
      </c>
      <c r="M14" s="8">
        <v>646.38</v>
      </c>
      <c r="N14" s="8">
        <v>643.44000000000005</v>
      </c>
      <c r="O14" s="8">
        <v>626.22</v>
      </c>
      <c r="P14" s="8">
        <v>606.48</v>
      </c>
      <c r="Q14" s="8">
        <v>614.04</v>
      </c>
      <c r="R14" s="8">
        <v>637.14</v>
      </c>
      <c r="S14" s="8">
        <v>712.32</v>
      </c>
      <c r="T14" s="8">
        <v>874.86</v>
      </c>
      <c r="U14" s="8">
        <v>881.58</v>
      </c>
      <c r="V14" s="8">
        <v>866.88</v>
      </c>
      <c r="W14" s="8">
        <v>851.34</v>
      </c>
      <c r="X14" s="8">
        <v>831.6</v>
      </c>
      <c r="Y14" s="8">
        <v>785.82</v>
      </c>
      <c r="Z14" s="8">
        <v>719.04</v>
      </c>
    </row>
    <row r="15" spans="1:26" x14ac:dyDescent="0.25">
      <c r="A15" s="4">
        <v>41282</v>
      </c>
      <c r="B15" s="5">
        <f>SUM('2013 - 8760 Load'!_Day374)</f>
        <v>17537.939999999999</v>
      </c>
      <c r="C15" s="8">
        <v>687.96</v>
      </c>
      <c r="D15" s="8">
        <v>671.58</v>
      </c>
      <c r="E15" s="8">
        <v>657.3</v>
      </c>
      <c r="F15" s="8">
        <v>648.48</v>
      </c>
      <c r="G15" s="8">
        <v>682.5</v>
      </c>
      <c r="H15" s="8">
        <v>728.7</v>
      </c>
      <c r="I15" s="8">
        <v>800.1</v>
      </c>
      <c r="J15" s="8">
        <v>774.48</v>
      </c>
      <c r="K15" s="8">
        <v>738.36</v>
      </c>
      <c r="L15" s="8">
        <v>722.82</v>
      </c>
      <c r="M15" s="8">
        <v>709.38</v>
      </c>
      <c r="N15" s="8">
        <v>699.3</v>
      </c>
      <c r="O15" s="8">
        <v>669.06</v>
      </c>
      <c r="P15" s="8">
        <v>647.64</v>
      </c>
      <c r="Q15" s="8">
        <v>647.64</v>
      </c>
      <c r="R15" s="8">
        <v>644.28</v>
      </c>
      <c r="S15" s="8">
        <v>708.54</v>
      </c>
      <c r="T15" s="8">
        <v>847.14</v>
      </c>
      <c r="U15" s="8">
        <v>858.9</v>
      </c>
      <c r="V15" s="8">
        <v>868.14</v>
      </c>
      <c r="W15" s="8">
        <v>866.46</v>
      </c>
      <c r="X15" s="8">
        <v>798.42</v>
      </c>
      <c r="Y15" s="8">
        <v>739.62</v>
      </c>
      <c r="Z15" s="8">
        <v>721.14</v>
      </c>
    </row>
    <row r="16" spans="1:26" x14ac:dyDescent="0.25">
      <c r="A16" s="4">
        <v>41283</v>
      </c>
      <c r="B16" s="5">
        <f>SUM('2013 - 8760 Load'!_Day375)</f>
        <v>17495.940000000002</v>
      </c>
      <c r="C16" s="8">
        <v>663.6</v>
      </c>
      <c r="D16" s="8">
        <v>646.79999999999995</v>
      </c>
      <c r="E16" s="8">
        <v>637.55999999999995</v>
      </c>
      <c r="F16" s="8">
        <v>634.62</v>
      </c>
      <c r="G16" s="8">
        <v>645.12</v>
      </c>
      <c r="H16" s="8">
        <v>711.06</v>
      </c>
      <c r="I16" s="8">
        <v>767.34</v>
      </c>
      <c r="J16" s="8">
        <v>770.28</v>
      </c>
      <c r="K16" s="8">
        <v>720.72</v>
      </c>
      <c r="L16" s="8">
        <v>714</v>
      </c>
      <c r="M16" s="8">
        <v>697.2</v>
      </c>
      <c r="N16" s="8">
        <v>697.62</v>
      </c>
      <c r="O16" s="8">
        <v>676.62</v>
      </c>
      <c r="P16" s="8">
        <v>666.96</v>
      </c>
      <c r="Q16" s="8">
        <v>657.72</v>
      </c>
      <c r="R16" s="8">
        <v>685.86</v>
      </c>
      <c r="S16" s="8">
        <v>748.02</v>
      </c>
      <c r="T16" s="8">
        <v>870.66</v>
      </c>
      <c r="U16" s="8">
        <v>896.7</v>
      </c>
      <c r="V16" s="8">
        <v>874.86</v>
      </c>
      <c r="W16" s="8">
        <v>852.6</v>
      </c>
      <c r="X16" s="8">
        <v>829.5</v>
      </c>
      <c r="Y16" s="8">
        <v>758.94</v>
      </c>
      <c r="Z16" s="8">
        <v>671.58</v>
      </c>
    </row>
    <row r="17" spans="1:26" x14ac:dyDescent="0.25">
      <c r="A17" s="4">
        <v>41284</v>
      </c>
      <c r="B17" s="5">
        <f>SUM('2013 - 8760 Load'!_Day376)</f>
        <v>16306.08</v>
      </c>
      <c r="C17" s="8">
        <v>620.34</v>
      </c>
      <c r="D17" s="8">
        <v>610.67999999999995</v>
      </c>
      <c r="E17" s="8">
        <v>611.94000000000005</v>
      </c>
      <c r="F17" s="8">
        <v>598.08000000000004</v>
      </c>
      <c r="G17" s="8">
        <v>606.9</v>
      </c>
      <c r="H17" s="8">
        <v>655.62</v>
      </c>
      <c r="I17" s="8">
        <v>722.4</v>
      </c>
      <c r="J17" s="8">
        <v>692.16</v>
      </c>
      <c r="K17" s="8">
        <v>699.72</v>
      </c>
      <c r="L17" s="8">
        <v>649.74</v>
      </c>
      <c r="M17" s="8">
        <v>651.84</v>
      </c>
      <c r="N17" s="8">
        <v>624.96</v>
      </c>
      <c r="O17" s="8">
        <v>614.04</v>
      </c>
      <c r="P17" s="8">
        <v>570.36</v>
      </c>
      <c r="Q17" s="8">
        <v>582.12</v>
      </c>
      <c r="R17" s="8">
        <v>597.24</v>
      </c>
      <c r="S17" s="8">
        <v>679.56</v>
      </c>
      <c r="T17" s="8">
        <v>819</v>
      </c>
      <c r="U17" s="8">
        <v>826.56</v>
      </c>
      <c r="V17" s="8">
        <v>850.5</v>
      </c>
      <c r="W17" s="8">
        <v>829.92</v>
      </c>
      <c r="X17" s="8">
        <v>776.16</v>
      </c>
      <c r="Y17" s="8">
        <v>737.94</v>
      </c>
      <c r="Z17" s="8">
        <v>678.3</v>
      </c>
    </row>
    <row r="18" spans="1:26" x14ac:dyDescent="0.25">
      <c r="A18" s="4">
        <v>41285</v>
      </c>
      <c r="B18" s="5">
        <f>SUM('2013 - 8760 Load'!_Day377)</f>
        <v>17361.120000000003</v>
      </c>
      <c r="C18" s="8">
        <v>645.96</v>
      </c>
      <c r="D18" s="8">
        <v>622.02</v>
      </c>
      <c r="E18" s="8">
        <v>612.36</v>
      </c>
      <c r="F18" s="8">
        <v>609.84</v>
      </c>
      <c r="G18" s="8">
        <v>604.79999999999995</v>
      </c>
      <c r="H18" s="8">
        <v>661.08</v>
      </c>
      <c r="I18" s="8">
        <v>733.74</v>
      </c>
      <c r="J18" s="8">
        <v>729.54</v>
      </c>
      <c r="K18" s="8">
        <v>667.38</v>
      </c>
      <c r="L18" s="8">
        <v>673.68</v>
      </c>
      <c r="M18" s="8">
        <v>694.68</v>
      </c>
      <c r="N18" s="8">
        <v>689.22</v>
      </c>
      <c r="O18" s="8">
        <v>680.82</v>
      </c>
      <c r="P18" s="8">
        <v>682.5</v>
      </c>
      <c r="Q18" s="8">
        <v>695.52</v>
      </c>
      <c r="R18" s="8">
        <v>727.02</v>
      </c>
      <c r="S18" s="8">
        <v>801.78</v>
      </c>
      <c r="T18" s="8">
        <v>889.98</v>
      </c>
      <c r="U18" s="8">
        <v>887.04</v>
      </c>
      <c r="V18" s="8">
        <v>858.48</v>
      </c>
      <c r="W18" s="8">
        <v>845.46</v>
      </c>
      <c r="X18" s="8">
        <v>840</v>
      </c>
      <c r="Y18" s="8">
        <v>786.24</v>
      </c>
      <c r="Z18" s="8">
        <v>721.98</v>
      </c>
    </row>
    <row r="19" spans="1:26" x14ac:dyDescent="0.25">
      <c r="A19" s="4">
        <v>41286</v>
      </c>
      <c r="B19" s="5">
        <f>SUM('2013 - 8760 Load'!_Day378)</f>
        <v>17359.859999999997</v>
      </c>
      <c r="C19" s="8">
        <v>677.88</v>
      </c>
      <c r="D19" s="8">
        <v>630.84</v>
      </c>
      <c r="E19" s="8">
        <v>606.05999999999995</v>
      </c>
      <c r="F19" s="8">
        <v>601.02</v>
      </c>
      <c r="G19" s="8">
        <v>601.86</v>
      </c>
      <c r="H19" s="8">
        <v>620.34</v>
      </c>
      <c r="I19" s="8">
        <v>642.6</v>
      </c>
      <c r="J19" s="8">
        <v>671.58</v>
      </c>
      <c r="K19" s="8">
        <v>709.38</v>
      </c>
      <c r="L19" s="8">
        <v>769.02</v>
      </c>
      <c r="M19" s="8">
        <v>749.28</v>
      </c>
      <c r="N19" s="8">
        <v>756.84</v>
      </c>
      <c r="O19" s="8">
        <v>739.2</v>
      </c>
      <c r="P19" s="8">
        <v>735.42</v>
      </c>
      <c r="Q19" s="8">
        <v>703.5</v>
      </c>
      <c r="R19" s="8">
        <v>739.2</v>
      </c>
      <c r="S19" s="8">
        <v>769.44</v>
      </c>
      <c r="T19" s="8">
        <v>866.88</v>
      </c>
      <c r="U19" s="8">
        <v>882</v>
      </c>
      <c r="V19" s="8">
        <v>835.8</v>
      </c>
      <c r="W19" s="8">
        <v>805.98</v>
      </c>
      <c r="X19" s="8">
        <v>800.94</v>
      </c>
      <c r="Y19" s="8">
        <v>751.38</v>
      </c>
      <c r="Z19" s="8">
        <v>693.42</v>
      </c>
    </row>
    <row r="20" spans="1:26" x14ac:dyDescent="0.25">
      <c r="A20" s="4">
        <v>41287</v>
      </c>
      <c r="B20" s="5">
        <f>SUM('2013 - 8760 Load'!_Day379)</f>
        <v>16453.919999999998</v>
      </c>
      <c r="C20" s="8">
        <v>631.26</v>
      </c>
      <c r="D20" s="8">
        <v>594.72</v>
      </c>
      <c r="E20" s="8">
        <v>585.48</v>
      </c>
      <c r="F20" s="8">
        <v>561.12</v>
      </c>
      <c r="G20" s="8">
        <v>571.20000000000005</v>
      </c>
      <c r="H20" s="8">
        <v>585.9</v>
      </c>
      <c r="I20" s="8">
        <v>589.26</v>
      </c>
      <c r="J20" s="8">
        <v>637.98</v>
      </c>
      <c r="K20" s="8">
        <v>690.48</v>
      </c>
      <c r="L20" s="8">
        <v>702.66</v>
      </c>
      <c r="M20" s="8">
        <v>731.64</v>
      </c>
      <c r="N20" s="8">
        <v>744.24</v>
      </c>
      <c r="O20" s="8">
        <v>709.8</v>
      </c>
      <c r="P20" s="8">
        <v>714</v>
      </c>
      <c r="Q20" s="8">
        <v>717.78</v>
      </c>
      <c r="R20" s="8">
        <v>711.48</v>
      </c>
      <c r="S20" s="8">
        <v>750.54</v>
      </c>
      <c r="T20" s="8">
        <v>824.46</v>
      </c>
      <c r="U20" s="8">
        <v>843.36</v>
      </c>
      <c r="V20" s="8">
        <v>815.64</v>
      </c>
      <c r="W20" s="8">
        <v>772.38</v>
      </c>
      <c r="X20" s="8">
        <v>714</v>
      </c>
      <c r="Y20" s="8">
        <v>663.6</v>
      </c>
      <c r="Z20" s="8">
        <v>590.94000000000005</v>
      </c>
    </row>
    <row r="21" spans="1:26" x14ac:dyDescent="0.25">
      <c r="A21" s="4">
        <v>41288</v>
      </c>
      <c r="B21" s="5">
        <f>SUM('2013 - 8760 Load'!_Day380)</f>
        <v>14952.839999999997</v>
      </c>
      <c r="C21" s="8">
        <v>552.72</v>
      </c>
      <c r="D21" s="8">
        <v>531.72</v>
      </c>
      <c r="E21" s="8">
        <v>524.16</v>
      </c>
      <c r="F21" s="8">
        <v>527.1</v>
      </c>
      <c r="G21" s="8">
        <v>534.24</v>
      </c>
      <c r="H21" s="8">
        <v>561.96</v>
      </c>
      <c r="I21" s="8">
        <v>623.28</v>
      </c>
      <c r="J21" s="8">
        <v>630.41999999999996</v>
      </c>
      <c r="K21" s="8">
        <v>598.91999999999996</v>
      </c>
      <c r="L21" s="8">
        <v>591.36</v>
      </c>
      <c r="M21" s="8">
        <v>572.04</v>
      </c>
      <c r="N21" s="8">
        <v>557.76</v>
      </c>
      <c r="O21" s="8">
        <v>572.88</v>
      </c>
      <c r="P21" s="8">
        <v>544.32000000000005</v>
      </c>
      <c r="Q21" s="8">
        <v>548.94000000000005</v>
      </c>
      <c r="R21" s="8">
        <v>582.96</v>
      </c>
      <c r="S21" s="8">
        <v>657.3</v>
      </c>
      <c r="T21" s="8">
        <v>803.88</v>
      </c>
      <c r="U21" s="8">
        <v>800.52</v>
      </c>
      <c r="V21" s="8">
        <v>824.46</v>
      </c>
      <c r="W21" s="8">
        <v>784.14</v>
      </c>
      <c r="X21" s="8">
        <v>731.64</v>
      </c>
      <c r="Y21" s="8">
        <v>671.16</v>
      </c>
      <c r="Z21" s="8">
        <v>624.96</v>
      </c>
    </row>
    <row r="22" spans="1:26" x14ac:dyDescent="0.25">
      <c r="A22" s="4">
        <v>41289</v>
      </c>
      <c r="B22" s="5">
        <f>SUM('2013 - 8760 Load'!_Day381)</f>
        <v>16376.220000000001</v>
      </c>
      <c r="C22" s="8">
        <v>587.16</v>
      </c>
      <c r="D22" s="8">
        <v>568.67999999999995</v>
      </c>
      <c r="E22" s="8">
        <v>553.55999999999995</v>
      </c>
      <c r="F22" s="8">
        <v>554.4</v>
      </c>
      <c r="G22" s="8">
        <v>560.70000000000005</v>
      </c>
      <c r="H22" s="8">
        <v>618.66</v>
      </c>
      <c r="I22" s="8">
        <v>682.92</v>
      </c>
      <c r="J22" s="8">
        <v>679.56</v>
      </c>
      <c r="K22" s="8">
        <v>652.26</v>
      </c>
      <c r="L22" s="8">
        <v>653.52</v>
      </c>
      <c r="M22" s="8">
        <v>658.14</v>
      </c>
      <c r="N22" s="8">
        <v>664.02</v>
      </c>
      <c r="O22" s="8">
        <v>666.54</v>
      </c>
      <c r="P22" s="8">
        <v>654.36</v>
      </c>
      <c r="Q22" s="8">
        <v>666.54</v>
      </c>
      <c r="R22" s="8">
        <v>691.32</v>
      </c>
      <c r="S22" s="8">
        <v>733.74</v>
      </c>
      <c r="T22" s="8">
        <v>819.84</v>
      </c>
      <c r="U22" s="8">
        <v>855.12</v>
      </c>
      <c r="V22" s="8">
        <v>850.5</v>
      </c>
      <c r="W22" s="8">
        <v>826.98</v>
      </c>
      <c r="X22" s="8">
        <v>779.1</v>
      </c>
      <c r="Y22" s="8">
        <v>718.62</v>
      </c>
      <c r="Z22" s="8">
        <v>679.98</v>
      </c>
    </row>
    <row r="23" spans="1:26" x14ac:dyDescent="0.25">
      <c r="A23" s="4">
        <v>41290</v>
      </c>
      <c r="B23" s="5">
        <f>SUM('2013 - 8760 Load'!_Day382)</f>
        <v>17545.080000000002</v>
      </c>
      <c r="C23" s="8">
        <v>644.70000000000005</v>
      </c>
      <c r="D23" s="8">
        <v>620.76</v>
      </c>
      <c r="E23" s="8">
        <v>613.20000000000005</v>
      </c>
      <c r="F23" s="8">
        <v>604.38</v>
      </c>
      <c r="G23" s="8">
        <v>624.96</v>
      </c>
      <c r="H23" s="8">
        <v>666.12</v>
      </c>
      <c r="I23" s="8">
        <v>682.5</v>
      </c>
      <c r="J23" s="8">
        <v>710.64</v>
      </c>
      <c r="K23" s="8">
        <v>720.3</v>
      </c>
      <c r="L23" s="8">
        <v>719.04</v>
      </c>
      <c r="M23" s="8">
        <v>735</v>
      </c>
      <c r="N23" s="8">
        <v>746.76</v>
      </c>
      <c r="O23" s="8">
        <v>742.14</v>
      </c>
      <c r="P23" s="8">
        <v>753.48</v>
      </c>
      <c r="Q23" s="8">
        <v>770.28</v>
      </c>
      <c r="R23" s="8">
        <v>737.52</v>
      </c>
      <c r="S23" s="8">
        <v>786.24</v>
      </c>
      <c r="T23" s="8">
        <v>887.88</v>
      </c>
      <c r="U23" s="8">
        <v>918.12</v>
      </c>
      <c r="V23" s="8">
        <v>839.16</v>
      </c>
      <c r="W23" s="8">
        <v>824.46</v>
      </c>
      <c r="X23" s="8">
        <v>774.06</v>
      </c>
      <c r="Y23" s="8">
        <v>734.16</v>
      </c>
      <c r="Z23" s="8">
        <v>689.22</v>
      </c>
    </row>
    <row r="24" spans="1:26" x14ac:dyDescent="0.25">
      <c r="A24" s="4">
        <v>41291</v>
      </c>
      <c r="B24" s="5">
        <f>SUM('2013 - 8760 Load'!_Day383)</f>
        <v>16976.400000000001</v>
      </c>
      <c r="C24" s="8">
        <v>637.14</v>
      </c>
      <c r="D24" s="8">
        <v>614.04</v>
      </c>
      <c r="E24" s="8">
        <v>616.55999999999995</v>
      </c>
      <c r="F24" s="8">
        <v>598.5</v>
      </c>
      <c r="G24" s="8">
        <v>604.38</v>
      </c>
      <c r="H24" s="8">
        <v>666.54</v>
      </c>
      <c r="I24" s="8">
        <v>727.44</v>
      </c>
      <c r="J24" s="8">
        <v>718.62</v>
      </c>
      <c r="K24" s="8">
        <v>697.2</v>
      </c>
      <c r="L24" s="8">
        <v>689.22</v>
      </c>
      <c r="M24" s="8">
        <v>679.56</v>
      </c>
      <c r="N24" s="8">
        <v>653.1</v>
      </c>
      <c r="O24" s="8">
        <v>682.92</v>
      </c>
      <c r="P24" s="8">
        <v>653.1</v>
      </c>
      <c r="Q24" s="8">
        <v>661.5</v>
      </c>
      <c r="R24" s="8">
        <v>680.4</v>
      </c>
      <c r="S24" s="8">
        <v>717.78</v>
      </c>
      <c r="T24" s="8">
        <v>842.52</v>
      </c>
      <c r="U24" s="8">
        <v>861.84</v>
      </c>
      <c r="V24" s="8">
        <v>858.48</v>
      </c>
      <c r="W24" s="8">
        <v>840</v>
      </c>
      <c r="X24" s="8">
        <v>820.68</v>
      </c>
      <c r="Y24" s="8">
        <v>761.04</v>
      </c>
      <c r="Z24" s="8">
        <v>693.84</v>
      </c>
    </row>
    <row r="25" spans="1:26" x14ac:dyDescent="0.25">
      <c r="A25" s="4">
        <v>41292</v>
      </c>
      <c r="B25" s="5">
        <f>SUM('2013 - 8760 Load'!_Day384)</f>
        <v>18587.940000000002</v>
      </c>
      <c r="C25" s="8">
        <v>654.78</v>
      </c>
      <c r="D25" s="8">
        <v>619.5</v>
      </c>
      <c r="E25" s="8">
        <v>619.91999999999996</v>
      </c>
      <c r="F25" s="8">
        <v>618.66</v>
      </c>
      <c r="G25" s="8">
        <v>633.78</v>
      </c>
      <c r="H25" s="8">
        <v>688.38</v>
      </c>
      <c r="I25" s="8">
        <v>762.72</v>
      </c>
      <c r="J25" s="8">
        <v>765.24</v>
      </c>
      <c r="K25" s="8">
        <v>726.18</v>
      </c>
      <c r="L25" s="8">
        <v>729.96</v>
      </c>
      <c r="M25" s="8">
        <v>708.96</v>
      </c>
      <c r="N25" s="8">
        <v>711.06</v>
      </c>
      <c r="O25" s="8">
        <v>715.26</v>
      </c>
      <c r="P25" s="8">
        <v>715.26</v>
      </c>
      <c r="Q25" s="8">
        <v>714.42</v>
      </c>
      <c r="R25" s="8">
        <v>733.74</v>
      </c>
      <c r="S25" s="8">
        <v>808.5</v>
      </c>
      <c r="T25" s="8">
        <v>914.76</v>
      </c>
      <c r="U25" s="8">
        <v>984.06</v>
      </c>
      <c r="V25" s="8">
        <v>977.34</v>
      </c>
      <c r="W25" s="8">
        <v>989.52</v>
      </c>
      <c r="X25" s="8">
        <v>981.96</v>
      </c>
      <c r="Y25" s="8">
        <v>934.08</v>
      </c>
      <c r="Z25" s="8">
        <v>879.9</v>
      </c>
    </row>
    <row r="26" spans="1:26" x14ac:dyDescent="0.25">
      <c r="A26" s="4">
        <v>41293</v>
      </c>
      <c r="B26" s="5">
        <f>SUM('2013 - 8760 Load'!_Day385)</f>
        <v>20081.04</v>
      </c>
      <c r="C26" s="8">
        <v>821.1</v>
      </c>
      <c r="D26" s="8">
        <v>810.6</v>
      </c>
      <c r="E26" s="8">
        <v>787.08</v>
      </c>
      <c r="F26" s="8">
        <v>749.7</v>
      </c>
      <c r="G26" s="8">
        <v>758.1</v>
      </c>
      <c r="H26" s="8">
        <v>768.6</v>
      </c>
      <c r="I26" s="8">
        <v>800.1</v>
      </c>
      <c r="J26" s="8">
        <v>811.86</v>
      </c>
      <c r="K26" s="8">
        <v>866.46</v>
      </c>
      <c r="L26" s="8">
        <v>874.86</v>
      </c>
      <c r="M26" s="8">
        <v>877.8</v>
      </c>
      <c r="N26" s="8">
        <v>831.6</v>
      </c>
      <c r="O26" s="8">
        <v>849.24</v>
      </c>
      <c r="P26" s="8">
        <v>820.68</v>
      </c>
      <c r="Q26" s="8">
        <v>793.8</v>
      </c>
      <c r="R26" s="8">
        <v>808.08</v>
      </c>
      <c r="S26" s="8">
        <v>828.66</v>
      </c>
      <c r="T26" s="8">
        <v>933.24</v>
      </c>
      <c r="U26" s="8">
        <v>974.4</v>
      </c>
      <c r="V26" s="8">
        <v>954.24</v>
      </c>
      <c r="W26" s="8">
        <v>918.54</v>
      </c>
      <c r="X26" s="8">
        <v>864.78</v>
      </c>
      <c r="Y26" s="8">
        <v>806.82</v>
      </c>
      <c r="Z26" s="8">
        <v>770.7</v>
      </c>
    </row>
    <row r="27" spans="1:26" x14ac:dyDescent="0.25">
      <c r="A27" s="4">
        <v>41294</v>
      </c>
      <c r="B27" s="5">
        <f>SUM('2013 - 8760 Load'!_Day386)</f>
        <v>18159.12</v>
      </c>
      <c r="C27" s="8">
        <v>679.56</v>
      </c>
      <c r="D27" s="8">
        <v>650.16</v>
      </c>
      <c r="E27" s="8">
        <v>638.4</v>
      </c>
      <c r="F27" s="8">
        <v>633.78</v>
      </c>
      <c r="G27" s="8">
        <v>628.32000000000005</v>
      </c>
      <c r="H27" s="8">
        <v>651.84</v>
      </c>
      <c r="I27" s="8">
        <v>669.9</v>
      </c>
      <c r="J27" s="8">
        <v>700.56</v>
      </c>
      <c r="K27" s="8">
        <v>736.68</v>
      </c>
      <c r="L27" s="8">
        <v>767.34</v>
      </c>
      <c r="M27" s="8">
        <v>793.38</v>
      </c>
      <c r="N27" s="8">
        <v>758.94</v>
      </c>
      <c r="O27" s="8">
        <v>743.4</v>
      </c>
      <c r="P27" s="8">
        <v>719.88</v>
      </c>
      <c r="Q27" s="8">
        <v>723.24</v>
      </c>
      <c r="R27" s="8">
        <v>739.2</v>
      </c>
      <c r="S27" s="8">
        <v>799.68</v>
      </c>
      <c r="T27" s="8">
        <v>893.34</v>
      </c>
      <c r="U27" s="8">
        <v>951.3</v>
      </c>
      <c r="V27" s="8">
        <v>926.94</v>
      </c>
      <c r="W27" s="8">
        <v>911.82</v>
      </c>
      <c r="X27" s="8">
        <v>852.18</v>
      </c>
      <c r="Y27" s="8">
        <v>832.86</v>
      </c>
      <c r="Z27" s="8">
        <v>756.42</v>
      </c>
    </row>
    <row r="28" spans="1:26" x14ac:dyDescent="0.25">
      <c r="A28" s="4">
        <v>41295</v>
      </c>
      <c r="B28" s="5">
        <f>SUM('2013 - 8760 Load'!_Day387)</f>
        <v>19797.959999999995</v>
      </c>
      <c r="C28" s="8">
        <v>707.28</v>
      </c>
      <c r="D28" s="8">
        <v>677.04</v>
      </c>
      <c r="E28" s="8">
        <v>676.62</v>
      </c>
      <c r="F28" s="8">
        <v>679.98</v>
      </c>
      <c r="G28" s="8">
        <v>689.22</v>
      </c>
      <c r="H28" s="8">
        <v>736.68</v>
      </c>
      <c r="I28" s="8">
        <v>746.34</v>
      </c>
      <c r="J28" s="8">
        <v>775.32</v>
      </c>
      <c r="K28" s="8">
        <v>838.74</v>
      </c>
      <c r="L28" s="8">
        <v>873.18</v>
      </c>
      <c r="M28" s="8">
        <v>885.36</v>
      </c>
      <c r="N28" s="8">
        <v>871.5</v>
      </c>
      <c r="O28" s="8">
        <v>885.78</v>
      </c>
      <c r="P28" s="8">
        <v>868.14</v>
      </c>
      <c r="Q28" s="8">
        <v>827.4</v>
      </c>
      <c r="R28" s="8">
        <v>828.66</v>
      </c>
      <c r="S28" s="8">
        <v>909.3</v>
      </c>
      <c r="T28" s="8">
        <v>992.88</v>
      </c>
      <c r="U28" s="8">
        <v>1008</v>
      </c>
      <c r="V28" s="8">
        <v>955.5</v>
      </c>
      <c r="W28" s="8">
        <v>923.16</v>
      </c>
      <c r="X28" s="8">
        <v>863.1</v>
      </c>
      <c r="Y28" s="8">
        <v>814.8</v>
      </c>
      <c r="Z28" s="8">
        <v>763.98</v>
      </c>
    </row>
    <row r="29" spans="1:26" x14ac:dyDescent="0.25">
      <c r="A29" s="4">
        <v>41296</v>
      </c>
      <c r="B29" s="5">
        <f>SUM('2013 - 8760 Load'!_Day388)</f>
        <v>20499.780000000002</v>
      </c>
      <c r="C29" s="8">
        <v>710.64</v>
      </c>
      <c r="D29" s="8">
        <v>714.84</v>
      </c>
      <c r="E29" s="8">
        <v>702.24</v>
      </c>
      <c r="F29" s="8">
        <v>712.74</v>
      </c>
      <c r="G29" s="8">
        <v>712.32</v>
      </c>
      <c r="H29" s="8">
        <v>773.64</v>
      </c>
      <c r="I29" s="8">
        <v>837.48</v>
      </c>
      <c r="J29" s="8">
        <v>843.36</v>
      </c>
      <c r="K29" s="8">
        <v>810.18</v>
      </c>
      <c r="L29" s="8">
        <v>805.14</v>
      </c>
      <c r="M29" s="8">
        <v>806.82</v>
      </c>
      <c r="N29" s="8">
        <v>818.58</v>
      </c>
      <c r="O29" s="8">
        <v>815.22</v>
      </c>
      <c r="P29" s="8">
        <v>830.76</v>
      </c>
      <c r="Q29" s="8">
        <v>835.38</v>
      </c>
      <c r="R29" s="8">
        <v>842.1</v>
      </c>
      <c r="S29" s="8">
        <v>884.94</v>
      </c>
      <c r="T29" s="8">
        <v>1002.12</v>
      </c>
      <c r="U29" s="8">
        <v>1051.68</v>
      </c>
      <c r="V29" s="8">
        <v>1058.82</v>
      </c>
      <c r="W29" s="8">
        <v>1046.22</v>
      </c>
      <c r="X29" s="8">
        <v>1013.88</v>
      </c>
      <c r="Y29" s="8">
        <v>962.64</v>
      </c>
      <c r="Z29" s="8">
        <v>908.04</v>
      </c>
    </row>
    <row r="30" spans="1:26" x14ac:dyDescent="0.25">
      <c r="A30" s="4">
        <v>41297</v>
      </c>
      <c r="B30" s="5">
        <f>SUM('2013 - 8760 Load'!_Day389)</f>
        <v>22414.140000000003</v>
      </c>
      <c r="C30" s="8">
        <v>867.3</v>
      </c>
      <c r="D30" s="8">
        <v>842.1</v>
      </c>
      <c r="E30" s="8">
        <v>827.82</v>
      </c>
      <c r="F30" s="8">
        <v>818.58</v>
      </c>
      <c r="G30" s="8">
        <v>840</v>
      </c>
      <c r="H30" s="8">
        <v>900.9</v>
      </c>
      <c r="I30" s="8">
        <v>963.48</v>
      </c>
      <c r="J30" s="8">
        <v>946.68</v>
      </c>
      <c r="K30" s="8">
        <v>924.42</v>
      </c>
      <c r="L30" s="8">
        <v>885.78</v>
      </c>
      <c r="M30" s="8">
        <v>900.06</v>
      </c>
      <c r="N30" s="8">
        <v>874.86</v>
      </c>
      <c r="O30" s="8">
        <v>876.96</v>
      </c>
      <c r="P30" s="8">
        <v>851.34</v>
      </c>
      <c r="Q30" s="8">
        <v>869.4</v>
      </c>
      <c r="R30" s="8">
        <v>876.12</v>
      </c>
      <c r="S30" s="8">
        <v>947.1</v>
      </c>
      <c r="T30" s="8">
        <v>1079.4000000000001</v>
      </c>
      <c r="U30" s="8">
        <v>1120.98</v>
      </c>
      <c r="V30" s="8">
        <v>1131.06</v>
      </c>
      <c r="W30" s="8">
        <v>1086.96</v>
      </c>
      <c r="X30" s="8">
        <v>1044.96</v>
      </c>
      <c r="Y30" s="8">
        <v>987</v>
      </c>
      <c r="Z30" s="8">
        <v>950.88</v>
      </c>
    </row>
    <row r="31" spans="1:26" x14ac:dyDescent="0.25">
      <c r="A31" s="4">
        <v>41298</v>
      </c>
      <c r="B31" s="5">
        <f>SUM('2013 - 8760 Load'!_Day390)</f>
        <v>23016.84</v>
      </c>
      <c r="C31" s="8">
        <v>905.52</v>
      </c>
      <c r="D31" s="8">
        <v>884.94</v>
      </c>
      <c r="E31" s="8">
        <v>870.66</v>
      </c>
      <c r="F31" s="8">
        <v>868.14</v>
      </c>
      <c r="G31" s="8">
        <v>871.92</v>
      </c>
      <c r="H31" s="8">
        <v>929.46</v>
      </c>
      <c r="I31" s="8">
        <v>985.32</v>
      </c>
      <c r="J31" s="8">
        <v>1006.74</v>
      </c>
      <c r="K31" s="8">
        <v>979.86</v>
      </c>
      <c r="L31" s="8">
        <v>971.46</v>
      </c>
      <c r="M31" s="8">
        <v>955.08</v>
      </c>
      <c r="N31" s="8">
        <v>914.34</v>
      </c>
      <c r="O31" s="8">
        <v>879.06</v>
      </c>
      <c r="P31" s="8">
        <v>884.1</v>
      </c>
      <c r="Q31" s="8">
        <v>870.66</v>
      </c>
      <c r="R31" s="8">
        <v>884.1</v>
      </c>
      <c r="S31" s="8">
        <v>936.6</v>
      </c>
      <c r="T31" s="8">
        <v>1064.7</v>
      </c>
      <c r="U31" s="8">
        <v>1126.8599999999999</v>
      </c>
      <c r="V31" s="8">
        <v>1134.42</v>
      </c>
      <c r="W31" s="8">
        <v>1104.18</v>
      </c>
      <c r="X31" s="8">
        <v>1053.78</v>
      </c>
      <c r="Y31" s="8">
        <v>998.76</v>
      </c>
      <c r="Z31" s="8">
        <v>936.18</v>
      </c>
    </row>
    <row r="32" spans="1:26" x14ac:dyDescent="0.25">
      <c r="A32" s="4">
        <v>41299</v>
      </c>
      <c r="B32" s="5">
        <f>SUM('2013 - 8760 Load'!_Day391)</f>
        <v>22123.5</v>
      </c>
      <c r="C32" s="8">
        <v>900.06</v>
      </c>
      <c r="D32" s="8">
        <v>879.9</v>
      </c>
      <c r="E32" s="8">
        <v>866.04</v>
      </c>
      <c r="F32" s="8">
        <v>842.1</v>
      </c>
      <c r="G32" s="8">
        <v>862.26</v>
      </c>
      <c r="H32" s="8">
        <v>907.62</v>
      </c>
      <c r="I32" s="8">
        <v>946.68</v>
      </c>
      <c r="J32" s="8">
        <v>936.6</v>
      </c>
      <c r="K32" s="8">
        <v>883.26</v>
      </c>
      <c r="L32" s="8">
        <v>926.52</v>
      </c>
      <c r="M32" s="8">
        <v>903.84</v>
      </c>
      <c r="N32" s="8">
        <v>908.46</v>
      </c>
      <c r="O32" s="8">
        <v>915.18</v>
      </c>
      <c r="P32" s="8">
        <v>877.8</v>
      </c>
      <c r="Q32" s="8">
        <v>866.04</v>
      </c>
      <c r="R32" s="8">
        <v>859.32</v>
      </c>
      <c r="S32" s="8">
        <v>928.2</v>
      </c>
      <c r="T32" s="8">
        <v>1021.44</v>
      </c>
      <c r="U32" s="8">
        <v>1063.44</v>
      </c>
      <c r="V32" s="8">
        <v>1032.78</v>
      </c>
      <c r="W32" s="8">
        <v>1012.62</v>
      </c>
      <c r="X32" s="8">
        <v>963.48</v>
      </c>
      <c r="Y32" s="8">
        <v>930.72</v>
      </c>
      <c r="Z32" s="8">
        <v>889.14</v>
      </c>
    </row>
    <row r="33" spans="1:26" x14ac:dyDescent="0.25">
      <c r="A33" s="4">
        <v>41300</v>
      </c>
      <c r="B33" s="5">
        <f>SUM('2013 - 8760 Load'!_Day392)</f>
        <v>22123.920000000002</v>
      </c>
      <c r="C33" s="8">
        <v>866.04</v>
      </c>
      <c r="D33" s="8">
        <v>846.72</v>
      </c>
      <c r="E33" s="8">
        <v>850.08</v>
      </c>
      <c r="F33" s="8">
        <v>843.78</v>
      </c>
      <c r="G33" s="8">
        <v>845.88</v>
      </c>
      <c r="H33" s="8">
        <v>859.74</v>
      </c>
      <c r="I33" s="8">
        <v>907.2</v>
      </c>
      <c r="J33" s="8">
        <v>934.92</v>
      </c>
      <c r="K33" s="8">
        <v>969.78</v>
      </c>
      <c r="L33" s="8">
        <v>975.66</v>
      </c>
      <c r="M33" s="8">
        <v>955.08</v>
      </c>
      <c r="N33" s="8">
        <v>923.58</v>
      </c>
      <c r="O33" s="8">
        <v>886.62</v>
      </c>
      <c r="P33" s="8">
        <v>867.72</v>
      </c>
      <c r="Q33" s="8">
        <v>845.46</v>
      </c>
      <c r="R33" s="8">
        <v>881.16</v>
      </c>
      <c r="S33" s="8">
        <v>937.02</v>
      </c>
      <c r="T33" s="8">
        <v>992.88</v>
      </c>
      <c r="U33" s="8">
        <v>1049.1600000000001</v>
      </c>
      <c r="V33" s="8">
        <v>1036.1400000000001</v>
      </c>
      <c r="W33" s="8">
        <v>1005.9</v>
      </c>
      <c r="X33" s="8">
        <v>1008</v>
      </c>
      <c r="Y33" s="8">
        <v>943.32</v>
      </c>
      <c r="Z33" s="8">
        <v>892.08</v>
      </c>
    </row>
    <row r="34" spans="1:26" x14ac:dyDescent="0.25">
      <c r="A34" s="4">
        <v>41301</v>
      </c>
      <c r="B34" s="5">
        <f>SUM('2013 - 8760 Load'!_Day393)</f>
        <v>20923.140000000003</v>
      </c>
      <c r="C34" s="8">
        <v>846.3</v>
      </c>
      <c r="D34" s="8">
        <v>839.16</v>
      </c>
      <c r="E34" s="8">
        <v>818.58</v>
      </c>
      <c r="F34" s="8">
        <v>804.72</v>
      </c>
      <c r="G34" s="8">
        <v>809.34</v>
      </c>
      <c r="H34" s="8">
        <v>822.36</v>
      </c>
      <c r="I34" s="8">
        <v>855.96</v>
      </c>
      <c r="J34" s="8">
        <v>886.2</v>
      </c>
      <c r="K34" s="8">
        <v>936.6</v>
      </c>
      <c r="L34" s="8">
        <v>951.72</v>
      </c>
      <c r="M34" s="8">
        <v>936.6</v>
      </c>
      <c r="N34" s="8">
        <v>891.24</v>
      </c>
      <c r="O34" s="8">
        <v>874.44</v>
      </c>
      <c r="P34" s="8">
        <v>840.42</v>
      </c>
      <c r="Q34" s="8">
        <v>834.12</v>
      </c>
      <c r="R34" s="8">
        <v>841.68</v>
      </c>
      <c r="S34" s="8">
        <v>840.42</v>
      </c>
      <c r="T34" s="8">
        <v>922.32</v>
      </c>
      <c r="U34" s="8">
        <v>960.96</v>
      </c>
      <c r="V34" s="8">
        <v>953.82</v>
      </c>
      <c r="W34" s="8">
        <v>929.04</v>
      </c>
      <c r="X34" s="8">
        <v>894.18</v>
      </c>
      <c r="Y34" s="8">
        <v>840.84</v>
      </c>
      <c r="Z34" s="8">
        <v>792.12</v>
      </c>
    </row>
    <row r="35" spans="1:26" x14ac:dyDescent="0.25">
      <c r="A35" s="4">
        <v>41302</v>
      </c>
      <c r="B35" s="5">
        <f>SUM('2013 - 8760 Load'!_Day394)</f>
        <v>19850.04</v>
      </c>
      <c r="C35" s="8">
        <v>763.14</v>
      </c>
      <c r="D35" s="8">
        <v>757.26</v>
      </c>
      <c r="E35" s="8">
        <v>741.72</v>
      </c>
      <c r="F35" s="8">
        <v>738.36</v>
      </c>
      <c r="G35" s="8">
        <v>742.14</v>
      </c>
      <c r="H35" s="8">
        <v>782.88</v>
      </c>
      <c r="I35" s="8">
        <v>832.02</v>
      </c>
      <c r="J35" s="8">
        <v>836.22</v>
      </c>
      <c r="K35" s="8">
        <v>807.66</v>
      </c>
      <c r="L35" s="8">
        <v>818.58</v>
      </c>
      <c r="M35" s="8">
        <v>840.42</v>
      </c>
      <c r="N35" s="8">
        <v>854.28</v>
      </c>
      <c r="O35" s="8">
        <v>853.86</v>
      </c>
      <c r="P35" s="8">
        <v>862.26</v>
      </c>
      <c r="Q35" s="8">
        <v>868.98</v>
      </c>
      <c r="R35" s="8">
        <v>867.3</v>
      </c>
      <c r="S35" s="8">
        <v>903.42</v>
      </c>
      <c r="T35" s="8">
        <v>952.56</v>
      </c>
      <c r="U35" s="8">
        <v>934.5</v>
      </c>
      <c r="V35" s="8">
        <v>928.2</v>
      </c>
      <c r="W35" s="8">
        <v>879.48</v>
      </c>
      <c r="X35" s="8">
        <v>814.38</v>
      </c>
      <c r="Y35" s="8">
        <v>753.9</v>
      </c>
      <c r="Z35" s="8">
        <v>716.52</v>
      </c>
    </row>
    <row r="36" spans="1:26" x14ac:dyDescent="0.25">
      <c r="A36" s="4">
        <v>41303</v>
      </c>
      <c r="B36" s="5">
        <f>SUM('2013 - 8760 Load'!_Day395)</f>
        <v>16247.28</v>
      </c>
      <c r="C36" s="8">
        <v>662.34</v>
      </c>
      <c r="D36" s="8">
        <v>633.78</v>
      </c>
      <c r="E36" s="8">
        <v>624.96</v>
      </c>
      <c r="F36" s="8">
        <v>618.24</v>
      </c>
      <c r="G36" s="8">
        <v>614.46</v>
      </c>
      <c r="H36" s="8">
        <v>680.4</v>
      </c>
      <c r="I36" s="8">
        <v>736.26</v>
      </c>
      <c r="J36" s="8">
        <v>732.06</v>
      </c>
      <c r="K36" s="8">
        <v>701.4</v>
      </c>
      <c r="L36" s="8">
        <v>698.46</v>
      </c>
      <c r="M36" s="8">
        <v>647.64</v>
      </c>
      <c r="N36" s="8">
        <v>630.84</v>
      </c>
      <c r="O36" s="8">
        <v>607.74</v>
      </c>
      <c r="P36" s="8">
        <v>608.58000000000004</v>
      </c>
      <c r="Q36" s="8">
        <v>606.48</v>
      </c>
      <c r="R36" s="8">
        <v>632.94000000000005</v>
      </c>
      <c r="S36" s="8">
        <v>698.04</v>
      </c>
      <c r="T36" s="8">
        <v>774.9</v>
      </c>
      <c r="U36" s="8">
        <v>796.74</v>
      </c>
      <c r="V36" s="8">
        <v>789.18</v>
      </c>
      <c r="W36" s="8">
        <v>761.04</v>
      </c>
      <c r="X36" s="8">
        <v>713.58</v>
      </c>
      <c r="Y36" s="8">
        <v>664.02</v>
      </c>
      <c r="Z36" s="8">
        <v>613.20000000000005</v>
      </c>
    </row>
    <row r="37" spans="1:26" x14ac:dyDescent="0.25">
      <c r="A37" s="4">
        <v>41304</v>
      </c>
      <c r="B37" s="5">
        <f>SUM('2013 - 8760 Load'!_Day396)</f>
        <v>14207.339999999998</v>
      </c>
      <c r="C37" s="8">
        <v>582.12</v>
      </c>
      <c r="D37" s="8">
        <v>562.79999999999995</v>
      </c>
      <c r="E37" s="8">
        <v>550.62</v>
      </c>
      <c r="F37" s="8">
        <v>543.48</v>
      </c>
      <c r="G37" s="8">
        <v>557.34</v>
      </c>
      <c r="H37" s="8">
        <v>613.20000000000005</v>
      </c>
      <c r="I37" s="8">
        <v>680.82</v>
      </c>
      <c r="J37" s="8">
        <v>677.88</v>
      </c>
      <c r="K37" s="8">
        <v>635.88</v>
      </c>
      <c r="L37" s="8">
        <v>618.24</v>
      </c>
      <c r="M37" s="8">
        <v>614.46</v>
      </c>
      <c r="N37" s="8">
        <v>595.98</v>
      </c>
      <c r="O37" s="8">
        <v>600.6</v>
      </c>
      <c r="P37" s="8">
        <v>611.52</v>
      </c>
      <c r="Q37" s="8">
        <v>611.94000000000005</v>
      </c>
      <c r="R37" s="8">
        <v>631.67999999999995</v>
      </c>
      <c r="S37" s="8">
        <v>687.96</v>
      </c>
      <c r="T37" s="8">
        <v>564.05999999999995</v>
      </c>
      <c r="U37" s="8">
        <v>489.3</v>
      </c>
      <c r="V37" s="8">
        <v>470.4</v>
      </c>
      <c r="W37" s="8">
        <v>457.8</v>
      </c>
      <c r="X37" s="8">
        <v>607.74</v>
      </c>
      <c r="Y37" s="8">
        <v>655.62</v>
      </c>
      <c r="Z37" s="8">
        <v>585.9</v>
      </c>
    </row>
    <row r="38" spans="1:26" x14ac:dyDescent="0.25">
      <c r="A38" s="4">
        <v>41305</v>
      </c>
      <c r="B38" s="5">
        <f>SUM('2013 - 8760 Load'!_Day397)</f>
        <v>14869.68</v>
      </c>
      <c r="C38" s="8">
        <v>532.14</v>
      </c>
      <c r="D38" s="8">
        <v>509.88</v>
      </c>
      <c r="E38" s="8">
        <v>501.06</v>
      </c>
      <c r="F38" s="8">
        <v>496.44</v>
      </c>
      <c r="G38" s="8">
        <v>501.48</v>
      </c>
      <c r="H38" s="8">
        <v>538.44000000000005</v>
      </c>
      <c r="I38" s="8">
        <v>633.78</v>
      </c>
      <c r="J38" s="8">
        <v>627.9</v>
      </c>
      <c r="K38" s="8">
        <v>539.28</v>
      </c>
      <c r="L38" s="8">
        <v>540.12</v>
      </c>
      <c r="M38" s="8">
        <v>540.54</v>
      </c>
      <c r="N38" s="8">
        <v>540.54</v>
      </c>
      <c r="O38" s="8">
        <v>510.3</v>
      </c>
      <c r="P38" s="8">
        <v>508.2</v>
      </c>
      <c r="Q38" s="8">
        <v>520.38</v>
      </c>
      <c r="R38" s="8">
        <v>559.44000000000005</v>
      </c>
      <c r="S38" s="8">
        <v>745.92</v>
      </c>
      <c r="T38" s="8">
        <v>798.84</v>
      </c>
      <c r="U38" s="8">
        <v>848.82</v>
      </c>
      <c r="V38" s="8">
        <v>844.62</v>
      </c>
      <c r="W38" s="8">
        <v>827.4</v>
      </c>
      <c r="X38" s="8">
        <v>787.5</v>
      </c>
      <c r="Y38" s="8">
        <v>724.92</v>
      </c>
      <c r="Z38" s="8">
        <v>691.74</v>
      </c>
    </row>
    <row r="39" spans="1:26" x14ac:dyDescent="0.25">
      <c r="A39" s="4">
        <v>41306</v>
      </c>
      <c r="B39" s="5">
        <f>SUM('2013 - 8760 Load'!_Day398)</f>
        <v>18836.999999999996</v>
      </c>
      <c r="C39" s="8">
        <v>658.14</v>
      </c>
      <c r="D39" s="8">
        <v>643.86</v>
      </c>
      <c r="E39" s="8">
        <v>670.32</v>
      </c>
      <c r="F39" s="8">
        <v>674.52</v>
      </c>
      <c r="G39" s="8">
        <v>685.44</v>
      </c>
      <c r="H39" s="8">
        <v>745.92</v>
      </c>
      <c r="I39" s="8">
        <v>806.4</v>
      </c>
      <c r="J39" s="8">
        <v>785.82</v>
      </c>
      <c r="K39" s="8">
        <v>742.56</v>
      </c>
      <c r="L39" s="8">
        <v>753.48</v>
      </c>
      <c r="M39" s="8">
        <v>764.4</v>
      </c>
      <c r="N39" s="8">
        <v>756.84</v>
      </c>
      <c r="O39" s="8">
        <v>730.38</v>
      </c>
      <c r="P39" s="8">
        <v>709.8</v>
      </c>
      <c r="Q39" s="8">
        <v>729.12</v>
      </c>
      <c r="R39" s="8">
        <v>735.84</v>
      </c>
      <c r="S39" s="8">
        <v>813.12</v>
      </c>
      <c r="T39" s="8">
        <v>910.98</v>
      </c>
      <c r="U39" s="8">
        <v>951.3</v>
      </c>
      <c r="V39" s="8">
        <v>942.48</v>
      </c>
      <c r="W39" s="8">
        <v>958.86</v>
      </c>
      <c r="X39" s="8">
        <v>940.8</v>
      </c>
      <c r="Y39" s="8">
        <v>875.7</v>
      </c>
      <c r="Z39" s="8">
        <v>850.92</v>
      </c>
    </row>
    <row r="40" spans="1:26" x14ac:dyDescent="0.25">
      <c r="A40" s="4">
        <v>41307</v>
      </c>
      <c r="B40" s="5">
        <f>SUM('2013 - 8760 Load'!_Day399)</f>
        <v>20936.16</v>
      </c>
      <c r="C40" s="8">
        <v>814.38</v>
      </c>
      <c r="D40" s="8">
        <v>786.66</v>
      </c>
      <c r="E40" s="8">
        <v>761.04</v>
      </c>
      <c r="F40" s="8">
        <v>768.18</v>
      </c>
      <c r="G40" s="8">
        <v>763.56</v>
      </c>
      <c r="H40" s="8">
        <v>779.94</v>
      </c>
      <c r="I40" s="8">
        <v>806.4</v>
      </c>
      <c r="J40" s="8">
        <v>843.36</v>
      </c>
      <c r="K40" s="8">
        <v>882</v>
      </c>
      <c r="L40" s="8">
        <v>905.1</v>
      </c>
      <c r="M40" s="8">
        <v>879.9</v>
      </c>
      <c r="N40" s="8">
        <v>889.14</v>
      </c>
      <c r="O40" s="8">
        <v>869.82</v>
      </c>
      <c r="P40" s="8">
        <v>848.4</v>
      </c>
      <c r="Q40" s="8">
        <v>874.44</v>
      </c>
      <c r="R40" s="8">
        <v>900.48</v>
      </c>
      <c r="S40" s="8">
        <v>924.84</v>
      </c>
      <c r="T40" s="8">
        <v>996.66</v>
      </c>
      <c r="U40" s="8">
        <v>1002.54</v>
      </c>
      <c r="V40" s="8">
        <v>1005.9</v>
      </c>
      <c r="W40" s="8">
        <v>974.4</v>
      </c>
      <c r="X40" s="8">
        <v>933.66</v>
      </c>
      <c r="Y40" s="8">
        <v>893.76</v>
      </c>
      <c r="Z40" s="8">
        <v>831.6</v>
      </c>
    </row>
    <row r="41" spans="1:26" x14ac:dyDescent="0.25">
      <c r="A41" s="4">
        <v>41308</v>
      </c>
      <c r="B41" s="5">
        <f>SUM('2013 - 8760 Load'!_Day400)</f>
        <v>20204.940000000002</v>
      </c>
      <c r="C41" s="8">
        <v>790.86</v>
      </c>
      <c r="D41" s="8">
        <v>770.7</v>
      </c>
      <c r="E41" s="8">
        <v>743.4</v>
      </c>
      <c r="F41" s="8">
        <v>752.64</v>
      </c>
      <c r="G41" s="8">
        <v>743.82</v>
      </c>
      <c r="H41" s="8">
        <v>771.12</v>
      </c>
      <c r="I41" s="8">
        <v>795.06</v>
      </c>
      <c r="J41" s="8">
        <v>843.36</v>
      </c>
      <c r="K41" s="8">
        <v>879.9</v>
      </c>
      <c r="L41" s="8">
        <v>915.18</v>
      </c>
      <c r="M41" s="8">
        <v>885.36</v>
      </c>
      <c r="N41" s="8">
        <v>887.04</v>
      </c>
      <c r="O41" s="8">
        <v>861</v>
      </c>
      <c r="P41" s="8">
        <v>855.54</v>
      </c>
      <c r="Q41" s="8">
        <v>844.62</v>
      </c>
      <c r="R41" s="8">
        <v>824.88</v>
      </c>
      <c r="S41" s="8">
        <v>868.14</v>
      </c>
      <c r="T41" s="8">
        <v>939.54</v>
      </c>
      <c r="U41" s="8">
        <v>949.2</v>
      </c>
      <c r="V41" s="8">
        <v>918.54</v>
      </c>
      <c r="W41" s="8">
        <v>895.02</v>
      </c>
      <c r="X41" s="8">
        <v>886.2</v>
      </c>
      <c r="Y41" s="8">
        <v>817.32</v>
      </c>
      <c r="Z41" s="8">
        <v>766.5</v>
      </c>
    </row>
    <row r="42" spans="1:26" x14ac:dyDescent="0.25">
      <c r="A42" s="4">
        <v>41309</v>
      </c>
      <c r="B42" s="5">
        <f>SUM('2013 - 8760 Load'!_Day401)</f>
        <v>19026</v>
      </c>
      <c r="C42" s="8">
        <v>719.88</v>
      </c>
      <c r="D42" s="8">
        <v>710.22</v>
      </c>
      <c r="E42" s="8">
        <v>703.5</v>
      </c>
      <c r="F42" s="8">
        <v>701.4</v>
      </c>
      <c r="G42" s="8">
        <v>722.4</v>
      </c>
      <c r="H42" s="8">
        <v>771.54</v>
      </c>
      <c r="I42" s="8">
        <v>816.06</v>
      </c>
      <c r="J42" s="8">
        <v>813.12</v>
      </c>
      <c r="K42" s="8">
        <v>809.76</v>
      </c>
      <c r="L42" s="8">
        <v>772.8</v>
      </c>
      <c r="M42" s="8">
        <v>767.34</v>
      </c>
      <c r="N42" s="8">
        <v>755.58</v>
      </c>
      <c r="O42" s="8">
        <v>759.78</v>
      </c>
      <c r="P42" s="8">
        <v>752.22</v>
      </c>
      <c r="Q42" s="8">
        <v>737.1</v>
      </c>
      <c r="R42" s="8">
        <v>728.7</v>
      </c>
      <c r="S42" s="8">
        <v>795.06</v>
      </c>
      <c r="T42" s="8">
        <v>924.42</v>
      </c>
      <c r="U42" s="8">
        <v>964.74</v>
      </c>
      <c r="V42" s="8">
        <v>936.6</v>
      </c>
      <c r="W42" s="8">
        <v>918.96</v>
      </c>
      <c r="X42" s="8">
        <v>881.16</v>
      </c>
      <c r="Y42" s="8">
        <v>811.86</v>
      </c>
      <c r="Z42" s="8">
        <v>751.8</v>
      </c>
    </row>
    <row r="43" spans="1:26" x14ac:dyDescent="0.25">
      <c r="A43" s="4">
        <v>41310</v>
      </c>
      <c r="B43" s="5">
        <f>SUM('2013 - 8760 Load'!_Day402)</f>
        <v>18054.960000000003</v>
      </c>
      <c r="C43" s="8">
        <v>721.56</v>
      </c>
      <c r="D43" s="8">
        <v>691.74</v>
      </c>
      <c r="E43" s="8">
        <v>680.4</v>
      </c>
      <c r="F43" s="8">
        <v>684.6</v>
      </c>
      <c r="G43" s="8">
        <v>695.52</v>
      </c>
      <c r="H43" s="8">
        <v>742.14</v>
      </c>
      <c r="I43" s="8">
        <v>810.18</v>
      </c>
      <c r="J43" s="8">
        <v>773.64</v>
      </c>
      <c r="K43" s="8">
        <v>747.6</v>
      </c>
      <c r="L43" s="8">
        <v>750.54</v>
      </c>
      <c r="M43" s="8">
        <v>720.72</v>
      </c>
      <c r="N43" s="8">
        <v>723.24</v>
      </c>
      <c r="O43" s="8">
        <v>714</v>
      </c>
      <c r="P43" s="8">
        <v>685.02</v>
      </c>
      <c r="Q43" s="8">
        <v>699.72</v>
      </c>
      <c r="R43" s="8">
        <v>696.78</v>
      </c>
      <c r="S43" s="8">
        <v>763.56</v>
      </c>
      <c r="T43" s="8">
        <v>834.12</v>
      </c>
      <c r="U43" s="8">
        <v>872.76</v>
      </c>
      <c r="V43" s="8">
        <v>880.74</v>
      </c>
      <c r="W43" s="8">
        <v>855.54</v>
      </c>
      <c r="X43" s="8">
        <v>826.56</v>
      </c>
      <c r="Y43" s="8">
        <v>767.76</v>
      </c>
      <c r="Z43" s="8">
        <v>716.52</v>
      </c>
    </row>
    <row r="44" spans="1:26" x14ac:dyDescent="0.25">
      <c r="A44" s="4">
        <v>41311</v>
      </c>
      <c r="B44" s="5">
        <f>SUM('2013 - 8760 Load'!_Day403)</f>
        <v>17828.16</v>
      </c>
      <c r="C44" s="8">
        <v>688.8</v>
      </c>
      <c r="D44" s="8">
        <v>672.42</v>
      </c>
      <c r="E44" s="8">
        <v>656.04</v>
      </c>
      <c r="F44" s="8">
        <v>654.36</v>
      </c>
      <c r="G44" s="8">
        <v>671.58</v>
      </c>
      <c r="H44" s="8">
        <v>729.12</v>
      </c>
      <c r="I44" s="8">
        <v>799.26</v>
      </c>
      <c r="J44" s="8">
        <v>769.86</v>
      </c>
      <c r="K44" s="8">
        <v>710.22</v>
      </c>
      <c r="L44" s="8">
        <v>714.84</v>
      </c>
      <c r="M44" s="8">
        <v>709.8</v>
      </c>
      <c r="N44" s="8">
        <v>701.82</v>
      </c>
      <c r="O44" s="8">
        <v>677.88</v>
      </c>
      <c r="P44" s="8">
        <v>659.82</v>
      </c>
      <c r="Q44" s="8">
        <v>653.94000000000005</v>
      </c>
      <c r="R44" s="8">
        <v>672</v>
      </c>
      <c r="S44" s="8">
        <v>730.8</v>
      </c>
      <c r="T44" s="8">
        <v>821.52</v>
      </c>
      <c r="U44" s="8">
        <v>895.02</v>
      </c>
      <c r="V44" s="8">
        <v>897.54</v>
      </c>
      <c r="W44" s="8">
        <v>904.68</v>
      </c>
      <c r="X44" s="8">
        <v>866.46</v>
      </c>
      <c r="Y44" s="8">
        <v>808.5</v>
      </c>
      <c r="Z44" s="8">
        <v>761.88</v>
      </c>
    </row>
    <row r="45" spans="1:26" x14ac:dyDescent="0.25">
      <c r="A45" s="4">
        <v>41312</v>
      </c>
      <c r="B45" s="5">
        <f>SUM('2013 - 8760 Load'!_Day404)</f>
        <v>18716.46</v>
      </c>
      <c r="C45" s="8">
        <v>746.76</v>
      </c>
      <c r="D45" s="8">
        <v>716.1</v>
      </c>
      <c r="E45" s="8">
        <v>709.38</v>
      </c>
      <c r="F45" s="8">
        <v>714.84</v>
      </c>
      <c r="G45" s="8">
        <v>729.96</v>
      </c>
      <c r="H45" s="8">
        <v>785.82</v>
      </c>
      <c r="I45" s="8">
        <v>845.88</v>
      </c>
      <c r="J45" s="8">
        <v>822.78</v>
      </c>
      <c r="K45" s="8">
        <v>786.66</v>
      </c>
      <c r="L45" s="8">
        <v>808.08</v>
      </c>
      <c r="M45" s="8">
        <v>753.48</v>
      </c>
      <c r="N45" s="8">
        <v>754.32</v>
      </c>
      <c r="O45" s="8">
        <v>716.94</v>
      </c>
      <c r="P45" s="8">
        <v>712.32</v>
      </c>
      <c r="Q45" s="8">
        <v>703.5</v>
      </c>
      <c r="R45" s="8">
        <v>696.36</v>
      </c>
      <c r="S45" s="8">
        <v>751.8</v>
      </c>
      <c r="T45" s="8">
        <v>830.76</v>
      </c>
      <c r="U45" s="8">
        <v>909.3</v>
      </c>
      <c r="V45" s="8">
        <v>897.54</v>
      </c>
      <c r="W45" s="8">
        <v>854.28</v>
      </c>
      <c r="X45" s="8">
        <v>866.88</v>
      </c>
      <c r="Y45" s="8">
        <v>826.56</v>
      </c>
      <c r="Z45" s="8">
        <v>776.16</v>
      </c>
    </row>
    <row r="46" spans="1:26" x14ac:dyDescent="0.25">
      <c r="A46" s="4">
        <v>41313</v>
      </c>
      <c r="B46" s="5">
        <f>SUM('2013 - 8760 Load'!_Day405)</f>
        <v>18734.100000000002</v>
      </c>
      <c r="C46" s="8">
        <v>714.42</v>
      </c>
      <c r="D46" s="8">
        <v>683.76</v>
      </c>
      <c r="E46" s="8">
        <v>674.94</v>
      </c>
      <c r="F46" s="8">
        <v>670.74</v>
      </c>
      <c r="G46" s="8">
        <v>670.32</v>
      </c>
      <c r="H46" s="8">
        <v>716.94</v>
      </c>
      <c r="I46" s="8">
        <v>755.16</v>
      </c>
      <c r="J46" s="8">
        <v>765.66</v>
      </c>
      <c r="K46" s="8">
        <v>774.9</v>
      </c>
      <c r="L46" s="8">
        <v>756.42</v>
      </c>
      <c r="M46" s="8">
        <v>763.98</v>
      </c>
      <c r="N46" s="8">
        <v>797.16</v>
      </c>
      <c r="O46" s="8">
        <v>783.3</v>
      </c>
      <c r="P46" s="8">
        <v>817.74</v>
      </c>
      <c r="Q46" s="8">
        <v>804.72</v>
      </c>
      <c r="R46" s="8">
        <v>809.76</v>
      </c>
      <c r="S46" s="8">
        <v>819.84</v>
      </c>
      <c r="T46" s="8">
        <v>897.54</v>
      </c>
      <c r="U46" s="8">
        <v>920.22</v>
      </c>
      <c r="V46" s="8">
        <v>940.8</v>
      </c>
      <c r="W46" s="8">
        <v>886.62</v>
      </c>
      <c r="X46" s="8">
        <v>824.88</v>
      </c>
      <c r="Y46" s="8">
        <v>760.2</v>
      </c>
      <c r="Z46" s="8">
        <v>724.08</v>
      </c>
    </row>
    <row r="47" spans="1:26" x14ac:dyDescent="0.25">
      <c r="A47" s="4">
        <v>41314</v>
      </c>
      <c r="B47" s="5">
        <f>SUM('2013 - 8760 Load'!_Day406)</f>
        <v>18666.059999999998</v>
      </c>
      <c r="C47" s="8">
        <v>689.22</v>
      </c>
      <c r="D47" s="8">
        <v>664.86</v>
      </c>
      <c r="E47" s="8">
        <v>668.64</v>
      </c>
      <c r="F47" s="8">
        <v>657.3</v>
      </c>
      <c r="G47" s="8">
        <v>670.74</v>
      </c>
      <c r="H47" s="8">
        <v>684.6</v>
      </c>
      <c r="I47" s="8">
        <v>711.9</v>
      </c>
      <c r="J47" s="8">
        <v>738.36</v>
      </c>
      <c r="K47" s="8">
        <v>782.88</v>
      </c>
      <c r="L47" s="8">
        <v>801.78</v>
      </c>
      <c r="M47" s="8">
        <v>779.52</v>
      </c>
      <c r="N47" s="8">
        <v>775.74</v>
      </c>
      <c r="O47" s="8">
        <v>744.24</v>
      </c>
      <c r="P47" s="8">
        <v>742.98</v>
      </c>
      <c r="Q47" s="8">
        <v>754.74</v>
      </c>
      <c r="R47" s="8">
        <v>768.6</v>
      </c>
      <c r="S47" s="8">
        <v>811.02</v>
      </c>
      <c r="T47" s="8">
        <v>885.36</v>
      </c>
      <c r="U47" s="8">
        <v>947.52</v>
      </c>
      <c r="V47" s="8">
        <v>942.9</v>
      </c>
      <c r="W47" s="8">
        <v>925.26</v>
      </c>
      <c r="X47" s="8">
        <v>876.96</v>
      </c>
      <c r="Y47" s="8">
        <v>826.98</v>
      </c>
      <c r="Z47" s="8">
        <v>813.96</v>
      </c>
    </row>
    <row r="48" spans="1:26" x14ac:dyDescent="0.25">
      <c r="A48" s="4">
        <v>41315</v>
      </c>
      <c r="B48" s="5">
        <f>SUM('2013 - 8760 Load'!_Day407)</f>
        <v>19098.240000000002</v>
      </c>
      <c r="C48" s="8">
        <v>768.6</v>
      </c>
      <c r="D48" s="8">
        <v>750.12</v>
      </c>
      <c r="E48" s="8">
        <v>738.36</v>
      </c>
      <c r="F48" s="8">
        <v>746.76</v>
      </c>
      <c r="G48" s="8">
        <v>742.14</v>
      </c>
      <c r="H48" s="8">
        <v>766.08</v>
      </c>
      <c r="I48" s="8">
        <v>792.54</v>
      </c>
      <c r="J48" s="8">
        <v>820.26</v>
      </c>
      <c r="K48" s="8">
        <v>873.6</v>
      </c>
      <c r="L48" s="8">
        <v>887.88</v>
      </c>
      <c r="M48" s="8">
        <v>871.5</v>
      </c>
      <c r="N48" s="8">
        <v>825.3</v>
      </c>
      <c r="O48" s="8">
        <v>760.2</v>
      </c>
      <c r="P48" s="8">
        <v>734.16</v>
      </c>
      <c r="Q48" s="8">
        <v>710.22</v>
      </c>
      <c r="R48" s="8">
        <v>728.7</v>
      </c>
      <c r="S48" s="8">
        <v>779.94</v>
      </c>
      <c r="T48" s="8">
        <v>845.04</v>
      </c>
      <c r="U48" s="8">
        <v>900.48</v>
      </c>
      <c r="V48" s="8">
        <v>900.48</v>
      </c>
      <c r="W48" s="8">
        <v>854.7</v>
      </c>
      <c r="X48" s="8">
        <v>809.34</v>
      </c>
      <c r="Y48" s="8">
        <v>779.52</v>
      </c>
      <c r="Z48" s="8">
        <v>712.32</v>
      </c>
    </row>
    <row r="49" spans="1:26" x14ac:dyDescent="0.25">
      <c r="A49" s="4">
        <v>41316</v>
      </c>
      <c r="B49" s="5">
        <f>SUM('2013 - 8760 Load'!_Day408)</f>
        <v>17109.539999999994</v>
      </c>
      <c r="C49" s="8">
        <v>683.76</v>
      </c>
      <c r="D49" s="8">
        <v>658.98</v>
      </c>
      <c r="E49" s="8">
        <v>637.55999999999995</v>
      </c>
      <c r="F49" s="8">
        <v>664.02</v>
      </c>
      <c r="G49" s="8">
        <v>655.62</v>
      </c>
      <c r="H49" s="8">
        <v>687.54</v>
      </c>
      <c r="I49" s="8">
        <v>722.82</v>
      </c>
      <c r="J49" s="8">
        <v>742.14</v>
      </c>
      <c r="K49" s="8">
        <v>756.42</v>
      </c>
      <c r="L49" s="8">
        <v>729.54</v>
      </c>
      <c r="M49" s="8">
        <v>707.28</v>
      </c>
      <c r="N49" s="8">
        <v>705.6</v>
      </c>
      <c r="O49" s="8">
        <v>691.74</v>
      </c>
      <c r="P49" s="8">
        <v>659.4</v>
      </c>
      <c r="Q49" s="8">
        <v>657.3</v>
      </c>
      <c r="R49" s="8">
        <v>668.64</v>
      </c>
      <c r="S49" s="8">
        <v>681.24</v>
      </c>
      <c r="T49" s="8">
        <v>773.64</v>
      </c>
      <c r="U49" s="8">
        <v>824.04</v>
      </c>
      <c r="V49" s="8">
        <v>847.56</v>
      </c>
      <c r="W49" s="8">
        <v>811.44</v>
      </c>
      <c r="X49" s="8">
        <v>744.66</v>
      </c>
      <c r="Y49" s="8">
        <v>720.3</v>
      </c>
      <c r="Z49" s="8">
        <v>678.3</v>
      </c>
    </row>
    <row r="50" spans="1:26" x14ac:dyDescent="0.25">
      <c r="A50" s="4">
        <v>41317</v>
      </c>
      <c r="B50" s="5">
        <f>SUM('2013 - 8760 Load'!_Day409)</f>
        <v>16773.960000000003</v>
      </c>
      <c r="C50" s="8">
        <v>618.66</v>
      </c>
      <c r="D50" s="8">
        <v>589.26</v>
      </c>
      <c r="E50" s="8">
        <v>590.94000000000005</v>
      </c>
      <c r="F50" s="8">
        <v>574.98</v>
      </c>
      <c r="G50" s="8">
        <v>612.36</v>
      </c>
      <c r="H50" s="8">
        <v>654.36</v>
      </c>
      <c r="I50" s="8">
        <v>697.2</v>
      </c>
      <c r="J50" s="8">
        <v>685.86</v>
      </c>
      <c r="K50" s="8">
        <v>687.54</v>
      </c>
      <c r="L50" s="8">
        <v>677.46</v>
      </c>
      <c r="M50" s="8">
        <v>681.24</v>
      </c>
      <c r="N50" s="8">
        <v>671.58</v>
      </c>
      <c r="O50" s="8">
        <v>676.2</v>
      </c>
      <c r="P50" s="8">
        <v>653.52</v>
      </c>
      <c r="Q50" s="8">
        <v>654.36</v>
      </c>
      <c r="R50" s="8">
        <v>666.96</v>
      </c>
      <c r="S50" s="8">
        <v>737.52</v>
      </c>
      <c r="T50" s="8">
        <v>784.14</v>
      </c>
      <c r="U50" s="8">
        <v>864.78</v>
      </c>
      <c r="V50" s="8">
        <v>863.94</v>
      </c>
      <c r="W50" s="8">
        <v>842.94</v>
      </c>
      <c r="X50" s="8">
        <v>805.56</v>
      </c>
      <c r="Y50" s="8">
        <v>770.7</v>
      </c>
      <c r="Z50" s="8">
        <v>711.9</v>
      </c>
    </row>
    <row r="51" spans="1:26" x14ac:dyDescent="0.25">
      <c r="A51" s="4">
        <v>41318</v>
      </c>
      <c r="B51" s="5">
        <f>SUM('2013 - 8760 Load'!_Day410)</f>
        <v>15974.279999999999</v>
      </c>
      <c r="C51" s="8">
        <v>658.14</v>
      </c>
      <c r="D51" s="8">
        <v>621.17999999999995</v>
      </c>
      <c r="E51" s="8">
        <v>616.14</v>
      </c>
      <c r="F51" s="8">
        <v>622.86</v>
      </c>
      <c r="G51" s="8">
        <v>641.34</v>
      </c>
      <c r="H51" s="8">
        <v>683.76</v>
      </c>
      <c r="I51" s="8">
        <v>751.38</v>
      </c>
      <c r="J51" s="8">
        <v>734.58</v>
      </c>
      <c r="K51" s="8">
        <v>669.48</v>
      </c>
      <c r="L51" s="8">
        <v>658.14</v>
      </c>
      <c r="M51" s="8">
        <v>622.86</v>
      </c>
      <c r="N51" s="8">
        <v>604.38</v>
      </c>
      <c r="O51" s="8">
        <v>565.32000000000005</v>
      </c>
      <c r="P51" s="8">
        <v>552.29999999999995</v>
      </c>
      <c r="Q51" s="8">
        <v>542.22</v>
      </c>
      <c r="R51" s="8">
        <v>574.55999999999995</v>
      </c>
      <c r="S51" s="8">
        <v>606.48</v>
      </c>
      <c r="T51" s="8">
        <v>719.46</v>
      </c>
      <c r="U51" s="8">
        <v>777.84</v>
      </c>
      <c r="V51" s="8">
        <v>791.28</v>
      </c>
      <c r="W51" s="8">
        <v>801.36</v>
      </c>
      <c r="X51" s="8">
        <v>783.3</v>
      </c>
      <c r="Y51" s="8">
        <v>713.58</v>
      </c>
      <c r="Z51" s="8">
        <v>662.34</v>
      </c>
    </row>
    <row r="52" spans="1:26" x14ac:dyDescent="0.25">
      <c r="A52" s="4">
        <v>41319</v>
      </c>
      <c r="B52" s="5">
        <f>SUM('2013 - 8760 Load'!_Day411)</f>
        <v>16075.5</v>
      </c>
      <c r="C52" s="8">
        <v>631.26</v>
      </c>
      <c r="D52" s="8">
        <v>604.79999999999995</v>
      </c>
      <c r="E52" s="8">
        <v>605.64</v>
      </c>
      <c r="F52" s="8">
        <v>617.4</v>
      </c>
      <c r="G52" s="8">
        <v>623.70000000000005</v>
      </c>
      <c r="H52" s="8">
        <v>674.94</v>
      </c>
      <c r="I52" s="8">
        <v>750.96</v>
      </c>
      <c r="J52" s="8">
        <v>721.56</v>
      </c>
      <c r="K52" s="8">
        <v>708.96</v>
      </c>
      <c r="L52" s="8">
        <v>660.24</v>
      </c>
      <c r="M52" s="8">
        <v>635.04</v>
      </c>
      <c r="N52" s="8">
        <v>617.4</v>
      </c>
      <c r="O52" s="8">
        <v>618.66</v>
      </c>
      <c r="P52" s="8">
        <v>598.91999999999996</v>
      </c>
      <c r="Q52" s="8">
        <v>577.91999999999996</v>
      </c>
      <c r="R52" s="8">
        <v>596.82000000000005</v>
      </c>
      <c r="S52" s="8">
        <v>632.52</v>
      </c>
      <c r="T52" s="8">
        <v>703.92</v>
      </c>
      <c r="U52" s="8">
        <v>795.9</v>
      </c>
      <c r="V52" s="8">
        <v>815.64</v>
      </c>
      <c r="W52" s="8">
        <v>770.28</v>
      </c>
      <c r="X52" s="8">
        <v>729.12</v>
      </c>
      <c r="Y52" s="8">
        <v>714</v>
      </c>
      <c r="Z52" s="8">
        <v>669.9</v>
      </c>
    </row>
    <row r="53" spans="1:26" x14ac:dyDescent="0.25">
      <c r="A53" s="4">
        <v>41320</v>
      </c>
      <c r="B53" s="5">
        <f>SUM('2013 - 8760 Load'!_Day412)</f>
        <v>16304.820000000002</v>
      </c>
      <c r="C53" s="8">
        <v>636.29999999999995</v>
      </c>
      <c r="D53" s="8">
        <v>608.16</v>
      </c>
      <c r="E53" s="8">
        <v>598.5</v>
      </c>
      <c r="F53" s="8">
        <v>591.78</v>
      </c>
      <c r="G53" s="8">
        <v>614.04</v>
      </c>
      <c r="H53" s="8">
        <v>643.02</v>
      </c>
      <c r="I53" s="8">
        <v>680.4</v>
      </c>
      <c r="J53" s="8">
        <v>700.14</v>
      </c>
      <c r="K53" s="8">
        <v>698.04</v>
      </c>
      <c r="L53" s="8">
        <v>661.92</v>
      </c>
      <c r="M53" s="8">
        <v>627.48</v>
      </c>
      <c r="N53" s="8">
        <v>616.14</v>
      </c>
      <c r="O53" s="8">
        <v>591.36</v>
      </c>
      <c r="P53" s="8">
        <v>566.16</v>
      </c>
      <c r="Q53" s="8">
        <v>616.55999999999995</v>
      </c>
      <c r="R53" s="8">
        <v>622.86</v>
      </c>
      <c r="S53" s="8">
        <v>674.1</v>
      </c>
      <c r="T53" s="8">
        <v>748.86</v>
      </c>
      <c r="U53" s="8">
        <v>838.32</v>
      </c>
      <c r="V53" s="8">
        <v>836.22</v>
      </c>
      <c r="W53" s="8">
        <v>813.12</v>
      </c>
      <c r="X53" s="8">
        <v>808.5</v>
      </c>
      <c r="Y53" s="8">
        <v>784.14</v>
      </c>
      <c r="Z53" s="8">
        <v>728.7</v>
      </c>
    </row>
    <row r="54" spans="1:26" x14ac:dyDescent="0.25">
      <c r="A54" s="4">
        <v>41321</v>
      </c>
      <c r="B54" s="5">
        <f>SUM('2013 - 8760 Load'!_Day413)</f>
        <v>19579.560000000001</v>
      </c>
      <c r="C54" s="8">
        <v>673.68</v>
      </c>
      <c r="D54" s="8">
        <v>636.72</v>
      </c>
      <c r="E54" s="8">
        <v>642.6</v>
      </c>
      <c r="F54" s="8">
        <v>639.66</v>
      </c>
      <c r="G54" s="8">
        <v>657.3</v>
      </c>
      <c r="H54" s="8">
        <v>670.74</v>
      </c>
      <c r="I54" s="8">
        <v>717.78</v>
      </c>
      <c r="J54" s="8">
        <v>766.08</v>
      </c>
      <c r="K54" s="8">
        <v>818.58</v>
      </c>
      <c r="L54" s="8">
        <v>834.12</v>
      </c>
      <c r="M54" s="8">
        <v>826.14</v>
      </c>
      <c r="N54" s="8">
        <v>821.52</v>
      </c>
      <c r="O54" s="8">
        <v>835.38</v>
      </c>
      <c r="P54" s="8">
        <v>839.58</v>
      </c>
      <c r="Q54" s="8">
        <v>835.38</v>
      </c>
      <c r="R54" s="8">
        <v>844.2</v>
      </c>
      <c r="S54" s="8">
        <v>884.94</v>
      </c>
      <c r="T54" s="8">
        <v>926.52</v>
      </c>
      <c r="U54" s="8">
        <v>1003.8</v>
      </c>
      <c r="V54" s="8">
        <v>1001.28</v>
      </c>
      <c r="W54" s="8">
        <v>1005.06</v>
      </c>
      <c r="X54" s="8">
        <v>972.3</v>
      </c>
      <c r="Y54" s="8">
        <v>895.86</v>
      </c>
      <c r="Z54" s="8">
        <v>830.34</v>
      </c>
    </row>
    <row r="55" spans="1:26" x14ac:dyDescent="0.25">
      <c r="A55" s="4">
        <v>41322</v>
      </c>
      <c r="B55" s="5">
        <f>SUM('2013 - 8760 Load'!_Day414)</f>
        <v>21224.280000000006</v>
      </c>
      <c r="C55" s="8">
        <v>782.46</v>
      </c>
      <c r="D55" s="8">
        <v>754.74</v>
      </c>
      <c r="E55" s="8">
        <v>738.78</v>
      </c>
      <c r="F55" s="8">
        <v>754.32</v>
      </c>
      <c r="G55" s="8">
        <v>758.1</v>
      </c>
      <c r="H55" s="8">
        <v>768.6</v>
      </c>
      <c r="I55" s="8">
        <v>801.36</v>
      </c>
      <c r="J55" s="8">
        <v>850.08</v>
      </c>
      <c r="K55" s="8">
        <v>930.3</v>
      </c>
      <c r="L55" s="8">
        <v>929.04</v>
      </c>
      <c r="M55" s="8">
        <v>921.48</v>
      </c>
      <c r="N55" s="8">
        <v>892.92</v>
      </c>
      <c r="O55" s="8">
        <v>864.78</v>
      </c>
      <c r="P55" s="8">
        <v>874.02</v>
      </c>
      <c r="Q55" s="8">
        <v>819</v>
      </c>
      <c r="R55" s="8">
        <v>845.46</v>
      </c>
      <c r="S55" s="8">
        <v>871.5</v>
      </c>
      <c r="T55" s="8">
        <v>1004.64</v>
      </c>
      <c r="U55" s="8">
        <v>1073.94</v>
      </c>
      <c r="V55" s="8">
        <v>1055.46</v>
      </c>
      <c r="W55" s="8">
        <v>1065.54</v>
      </c>
      <c r="X55" s="8">
        <v>1027.74</v>
      </c>
      <c r="Y55" s="8">
        <v>944.58</v>
      </c>
      <c r="Z55" s="8">
        <v>895.44</v>
      </c>
    </row>
    <row r="56" spans="1:26" x14ac:dyDescent="0.25">
      <c r="A56" s="4">
        <v>41323</v>
      </c>
      <c r="B56" s="5">
        <f>SUM('2013 - 8760 Load'!_Day415)</f>
        <v>20693.82</v>
      </c>
      <c r="C56" s="8">
        <v>862.26</v>
      </c>
      <c r="D56" s="8">
        <v>837.9</v>
      </c>
      <c r="E56" s="8">
        <v>833.28</v>
      </c>
      <c r="F56" s="8">
        <v>845.04</v>
      </c>
      <c r="G56" s="8">
        <v>843.78</v>
      </c>
      <c r="H56" s="8">
        <v>882.84</v>
      </c>
      <c r="I56" s="8">
        <v>908.46</v>
      </c>
      <c r="J56" s="8">
        <v>915.6</v>
      </c>
      <c r="K56" s="8">
        <v>938.7</v>
      </c>
      <c r="L56" s="8">
        <v>945.42</v>
      </c>
      <c r="M56" s="8">
        <v>889.14</v>
      </c>
      <c r="N56" s="8">
        <v>882.42</v>
      </c>
      <c r="O56" s="8">
        <v>838.74</v>
      </c>
      <c r="P56" s="8">
        <v>824.88</v>
      </c>
      <c r="Q56" s="8">
        <v>780.36</v>
      </c>
      <c r="R56" s="8">
        <v>777</v>
      </c>
      <c r="S56" s="8">
        <v>799.68</v>
      </c>
      <c r="T56" s="8">
        <v>892.5</v>
      </c>
      <c r="U56" s="8">
        <v>943.74</v>
      </c>
      <c r="V56" s="8">
        <v>930.3</v>
      </c>
      <c r="W56" s="8">
        <v>900.48</v>
      </c>
      <c r="X56" s="8">
        <v>866.04</v>
      </c>
      <c r="Y56" s="8">
        <v>799.68</v>
      </c>
      <c r="Z56" s="8">
        <v>755.58</v>
      </c>
    </row>
    <row r="57" spans="1:26" x14ac:dyDescent="0.25">
      <c r="A57" s="4">
        <v>41324</v>
      </c>
      <c r="B57" s="5">
        <f>SUM('2013 - 8760 Load'!_Day416)</f>
        <v>17957.940000000002</v>
      </c>
      <c r="C57" s="8">
        <v>699.72</v>
      </c>
      <c r="D57" s="8">
        <v>674.94</v>
      </c>
      <c r="E57" s="8">
        <v>677.88</v>
      </c>
      <c r="F57" s="8">
        <v>665.28</v>
      </c>
      <c r="G57" s="8">
        <v>689.64</v>
      </c>
      <c r="H57" s="8">
        <v>742.14</v>
      </c>
      <c r="I57" s="8">
        <v>796.74</v>
      </c>
      <c r="J57" s="8">
        <v>774.48</v>
      </c>
      <c r="K57" s="8">
        <v>745.92</v>
      </c>
      <c r="L57" s="8">
        <v>740.88</v>
      </c>
      <c r="M57" s="8">
        <v>731.64</v>
      </c>
      <c r="N57" s="8">
        <v>728.7</v>
      </c>
      <c r="O57" s="8">
        <v>751.8</v>
      </c>
      <c r="P57" s="8">
        <v>734.16</v>
      </c>
      <c r="Q57" s="8">
        <v>719.46</v>
      </c>
      <c r="R57" s="8">
        <v>712.74</v>
      </c>
      <c r="S57" s="8">
        <v>761.46</v>
      </c>
      <c r="T57" s="8">
        <v>808.5</v>
      </c>
      <c r="U57" s="8">
        <v>886.2</v>
      </c>
      <c r="V57" s="8">
        <v>869.4</v>
      </c>
      <c r="W57" s="8">
        <v>849.24</v>
      </c>
      <c r="X57" s="8">
        <v>792.12</v>
      </c>
      <c r="Y57" s="8">
        <v>724.08</v>
      </c>
      <c r="Z57" s="8">
        <v>680.82</v>
      </c>
    </row>
    <row r="58" spans="1:26" x14ac:dyDescent="0.25">
      <c r="A58" s="4">
        <v>41325</v>
      </c>
      <c r="B58" s="5">
        <f>SUM('2013 - 8760 Load'!_Day417)</f>
        <v>18144.420000000002</v>
      </c>
      <c r="C58" s="8">
        <v>646.38</v>
      </c>
      <c r="D58" s="8">
        <v>635.88</v>
      </c>
      <c r="E58" s="8">
        <v>629.16</v>
      </c>
      <c r="F58" s="8">
        <v>626.64</v>
      </c>
      <c r="G58" s="8">
        <v>648.05999999999995</v>
      </c>
      <c r="H58" s="8">
        <v>687.96</v>
      </c>
      <c r="I58" s="8">
        <v>764.4</v>
      </c>
      <c r="J58" s="8">
        <v>742.98</v>
      </c>
      <c r="K58" s="8">
        <v>741.3</v>
      </c>
      <c r="L58" s="8">
        <v>721.98</v>
      </c>
      <c r="M58" s="8">
        <v>702.24</v>
      </c>
      <c r="N58" s="8">
        <v>722.82</v>
      </c>
      <c r="O58" s="8">
        <v>729.12</v>
      </c>
      <c r="P58" s="8">
        <v>713.16</v>
      </c>
      <c r="Q58" s="8">
        <v>693.84</v>
      </c>
      <c r="R58" s="8">
        <v>737.94</v>
      </c>
      <c r="S58" s="8">
        <v>811.44</v>
      </c>
      <c r="T58" s="8">
        <v>857.64</v>
      </c>
      <c r="U58" s="8">
        <v>947.1</v>
      </c>
      <c r="V58" s="8">
        <v>939.12</v>
      </c>
      <c r="W58" s="8">
        <v>910.14</v>
      </c>
      <c r="X58" s="8">
        <v>892.5</v>
      </c>
      <c r="Y58" s="8">
        <v>840.84</v>
      </c>
      <c r="Z58" s="8">
        <v>801.78</v>
      </c>
    </row>
    <row r="59" spans="1:26" x14ac:dyDescent="0.25">
      <c r="A59" s="4">
        <v>41326</v>
      </c>
      <c r="B59" s="5">
        <f>SUM('2013 - 8760 Load'!_Day418)</f>
        <v>19026.419999999998</v>
      </c>
      <c r="C59" s="8">
        <v>758.1</v>
      </c>
      <c r="D59" s="8">
        <v>726.6</v>
      </c>
      <c r="E59" s="8">
        <v>723.66</v>
      </c>
      <c r="F59" s="8">
        <v>716.94</v>
      </c>
      <c r="G59" s="8">
        <v>725.76</v>
      </c>
      <c r="H59" s="8">
        <v>787.5</v>
      </c>
      <c r="I59" s="8">
        <v>832.02</v>
      </c>
      <c r="J59" s="8">
        <v>801.78</v>
      </c>
      <c r="K59" s="8">
        <v>787.92</v>
      </c>
      <c r="L59" s="8">
        <v>774.48</v>
      </c>
      <c r="M59" s="8">
        <v>751.38</v>
      </c>
      <c r="N59" s="8">
        <v>750.54</v>
      </c>
      <c r="O59" s="8">
        <v>747.6</v>
      </c>
      <c r="P59" s="8">
        <v>745.92</v>
      </c>
      <c r="Q59" s="8">
        <v>723.66</v>
      </c>
      <c r="R59" s="8">
        <v>718.62</v>
      </c>
      <c r="S59" s="8">
        <v>760.62</v>
      </c>
      <c r="T59" s="8">
        <v>847.14</v>
      </c>
      <c r="U59" s="8">
        <v>945.42</v>
      </c>
      <c r="V59" s="8">
        <v>958.02</v>
      </c>
      <c r="W59" s="8">
        <v>926.52</v>
      </c>
      <c r="X59" s="8">
        <v>893.76</v>
      </c>
      <c r="Y59" s="8">
        <v>834.54</v>
      </c>
      <c r="Z59" s="8">
        <v>787.92</v>
      </c>
    </row>
    <row r="60" spans="1:26" x14ac:dyDescent="0.25">
      <c r="A60" s="4">
        <v>41327</v>
      </c>
      <c r="B60" s="5">
        <f>SUM('2013 - 8760 Load'!_Day419)</f>
        <v>19118.400000000001</v>
      </c>
      <c r="C60" s="8">
        <v>740.88</v>
      </c>
      <c r="D60" s="8">
        <v>737.94</v>
      </c>
      <c r="E60" s="8">
        <v>732.06</v>
      </c>
      <c r="F60" s="8">
        <v>742.14</v>
      </c>
      <c r="G60" s="8">
        <v>750.54</v>
      </c>
      <c r="H60" s="8">
        <v>819.42</v>
      </c>
      <c r="I60" s="8">
        <v>884.1</v>
      </c>
      <c r="J60" s="8">
        <v>842.52</v>
      </c>
      <c r="K60" s="8">
        <v>790.86</v>
      </c>
      <c r="L60" s="8">
        <v>777.42</v>
      </c>
      <c r="M60" s="8">
        <v>750.96</v>
      </c>
      <c r="N60" s="8">
        <v>732.9</v>
      </c>
      <c r="O60" s="8">
        <v>698.04</v>
      </c>
      <c r="P60" s="8">
        <v>719.88</v>
      </c>
      <c r="Q60" s="8">
        <v>760.62</v>
      </c>
      <c r="R60" s="8">
        <v>778.26</v>
      </c>
      <c r="S60" s="8">
        <v>803.46</v>
      </c>
      <c r="T60" s="8">
        <v>846.3</v>
      </c>
      <c r="U60" s="8">
        <v>927.36</v>
      </c>
      <c r="V60" s="8">
        <v>898.8</v>
      </c>
      <c r="W60" s="8">
        <v>894.18</v>
      </c>
      <c r="X60" s="8">
        <v>889.14</v>
      </c>
      <c r="Y60" s="8">
        <v>829.08</v>
      </c>
      <c r="Z60" s="8">
        <v>771.54</v>
      </c>
    </row>
    <row r="61" spans="1:26" x14ac:dyDescent="0.25">
      <c r="A61" s="4">
        <v>41328</v>
      </c>
      <c r="B61" s="5">
        <f>SUM('2013 - 8760 Load'!_Day420)</f>
        <v>19123.86</v>
      </c>
      <c r="C61" s="8">
        <v>721.98</v>
      </c>
      <c r="D61" s="8">
        <v>700.98</v>
      </c>
      <c r="E61" s="8">
        <v>685.86</v>
      </c>
      <c r="F61" s="8">
        <v>688.38</v>
      </c>
      <c r="G61" s="8">
        <v>678.72</v>
      </c>
      <c r="H61" s="8">
        <v>695.52</v>
      </c>
      <c r="I61" s="8">
        <v>723.24</v>
      </c>
      <c r="J61" s="8">
        <v>748.86</v>
      </c>
      <c r="K61" s="8">
        <v>803.88</v>
      </c>
      <c r="L61" s="8">
        <v>825.72</v>
      </c>
      <c r="M61" s="8">
        <v>847.98</v>
      </c>
      <c r="N61" s="8">
        <v>848.4</v>
      </c>
      <c r="O61" s="8">
        <v>835.38</v>
      </c>
      <c r="P61" s="8">
        <v>849.66</v>
      </c>
      <c r="Q61" s="8">
        <v>833.7</v>
      </c>
      <c r="R61" s="8">
        <v>798</v>
      </c>
      <c r="S61" s="8">
        <v>855.54</v>
      </c>
      <c r="T61" s="8">
        <v>923.58</v>
      </c>
      <c r="U61" s="8">
        <v>976.5</v>
      </c>
      <c r="V61" s="8">
        <v>892.5</v>
      </c>
      <c r="W61" s="8">
        <v>885.78</v>
      </c>
      <c r="X61" s="8">
        <v>826.14</v>
      </c>
      <c r="Y61" s="8">
        <v>774.9</v>
      </c>
      <c r="Z61" s="8">
        <v>702.66</v>
      </c>
    </row>
    <row r="62" spans="1:26" x14ac:dyDescent="0.25">
      <c r="A62" s="4">
        <v>41329</v>
      </c>
      <c r="B62" s="5">
        <f>SUM('2013 - 8760 Load'!_Day421)</f>
        <v>17531.64</v>
      </c>
      <c r="C62" s="8">
        <v>669.48</v>
      </c>
      <c r="D62" s="8">
        <v>645.12</v>
      </c>
      <c r="E62" s="8">
        <v>626.22</v>
      </c>
      <c r="F62" s="8">
        <v>625.79999999999995</v>
      </c>
      <c r="G62" s="8">
        <v>629.16</v>
      </c>
      <c r="H62" s="8">
        <v>647.64</v>
      </c>
      <c r="I62" s="8">
        <v>665.7</v>
      </c>
      <c r="J62" s="8">
        <v>703.92</v>
      </c>
      <c r="K62" s="8">
        <v>745.92</v>
      </c>
      <c r="L62" s="8">
        <v>782.88</v>
      </c>
      <c r="M62" s="8">
        <v>740.46</v>
      </c>
      <c r="N62" s="8">
        <v>733.32</v>
      </c>
      <c r="O62" s="8">
        <v>744.66</v>
      </c>
      <c r="P62" s="8">
        <v>737.1</v>
      </c>
      <c r="Q62" s="8">
        <v>727.44</v>
      </c>
      <c r="R62" s="8">
        <v>733.74</v>
      </c>
      <c r="S62" s="8">
        <v>780.78</v>
      </c>
      <c r="T62" s="8">
        <v>810.6</v>
      </c>
      <c r="U62" s="8">
        <v>860.16</v>
      </c>
      <c r="V62" s="8">
        <v>857.64</v>
      </c>
      <c r="W62" s="8">
        <v>840.84</v>
      </c>
      <c r="X62" s="8">
        <v>788.34</v>
      </c>
      <c r="Y62" s="8">
        <v>747.6</v>
      </c>
      <c r="Z62" s="8">
        <v>687.12</v>
      </c>
    </row>
    <row r="63" spans="1:26" x14ac:dyDescent="0.25">
      <c r="A63" s="4">
        <v>41330</v>
      </c>
      <c r="B63" s="5">
        <f>SUM('2013 - 8760 Load'!_Day422)</f>
        <v>16654.259999999998</v>
      </c>
      <c r="C63" s="8">
        <v>660.66</v>
      </c>
      <c r="D63" s="8">
        <v>623.28</v>
      </c>
      <c r="E63" s="8">
        <v>631.67999999999995</v>
      </c>
      <c r="F63" s="8">
        <v>614.04</v>
      </c>
      <c r="G63" s="8">
        <v>621.6</v>
      </c>
      <c r="H63" s="8">
        <v>667.8</v>
      </c>
      <c r="I63" s="8">
        <v>721.56</v>
      </c>
      <c r="J63" s="8">
        <v>725.76</v>
      </c>
      <c r="K63" s="8">
        <v>701.82</v>
      </c>
      <c r="L63" s="8">
        <v>684.6</v>
      </c>
      <c r="M63" s="8">
        <v>681.24</v>
      </c>
      <c r="N63" s="8">
        <v>653.52</v>
      </c>
      <c r="O63" s="8">
        <v>649.32000000000005</v>
      </c>
      <c r="P63" s="8">
        <v>631.67999999999995</v>
      </c>
      <c r="Q63" s="8">
        <v>639.24</v>
      </c>
      <c r="R63" s="8">
        <v>651.41999999999996</v>
      </c>
      <c r="S63" s="8">
        <v>696.36</v>
      </c>
      <c r="T63" s="8">
        <v>754.32</v>
      </c>
      <c r="U63" s="8">
        <v>835.8</v>
      </c>
      <c r="V63" s="8">
        <v>831.18</v>
      </c>
      <c r="W63" s="8">
        <v>810.18</v>
      </c>
      <c r="X63" s="8">
        <v>766.5</v>
      </c>
      <c r="Y63" s="8">
        <v>724.92</v>
      </c>
      <c r="Z63" s="8">
        <v>675.78</v>
      </c>
    </row>
    <row r="64" spans="1:26" x14ac:dyDescent="0.25">
      <c r="A64" s="4">
        <v>41331</v>
      </c>
      <c r="B64" s="5">
        <f>SUM('2013 - 8760 Load'!_Day423)</f>
        <v>16510.62</v>
      </c>
      <c r="C64" s="8">
        <v>622.86</v>
      </c>
      <c r="D64" s="8">
        <v>620.34</v>
      </c>
      <c r="E64" s="8">
        <v>607.32000000000005</v>
      </c>
      <c r="F64" s="8">
        <v>611.1</v>
      </c>
      <c r="G64" s="8">
        <v>623.70000000000005</v>
      </c>
      <c r="H64" s="8">
        <v>674.52</v>
      </c>
      <c r="I64" s="8">
        <v>731.64</v>
      </c>
      <c r="J64" s="8">
        <v>708.96</v>
      </c>
      <c r="K64" s="8">
        <v>691.74</v>
      </c>
      <c r="L64" s="8">
        <v>661.92</v>
      </c>
      <c r="M64" s="8">
        <v>647.22</v>
      </c>
      <c r="N64" s="8">
        <v>642.17999999999995</v>
      </c>
      <c r="O64" s="8">
        <v>652.26</v>
      </c>
      <c r="P64" s="8">
        <v>640.08000000000004</v>
      </c>
      <c r="Q64" s="8">
        <v>625.38</v>
      </c>
      <c r="R64" s="8">
        <v>650.58000000000004</v>
      </c>
      <c r="S64" s="8">
        <v>697.62</v>
      </c>
      <c r="T64" s="8">
        <v>750.96</v>
      </c>
      <c r="U64" s="8">
        <v>823.62</v>
      </c>
      <c r="V64" s="8">
        <v>824.88</v>
      </c>
      <c r="W64" s="8">
        <v>804.72</v>
      </c>
      <c r="X64" s="8">
        <v>785.4</v>
      </c>
      <c r="Y64" s="8">
        <v>732.06</v>
      </c>
      <c r="Z64" s="8">
        <v>679.56</v>
      </c>
    </row>
    <row r="65" spans="1:26" x14ac:dyDescent="0.25">
      <c r="A65" s="4">
        <v>41332</v>
      </c>
      <c r="B65" s="5">
        <f>SUM('2013 - 8760 Load'!_Day424)</f>
        <v>16271.640000000001</v>
      </c>
      <c r="C65" s="8">
        <v>632.52</v>
      </c>
      <c r="D65" s="8">
        <v>612.36</v>
      </c>
      <c r="E65" s="8">
        <v>620.76</v>
      </c>
      <c r="F65" s="8">
        <v>616.98</v>
      </c>
      <c r="G65" s="8">
        <v>620.34</v>
      </c>
      <c r="H65" s="8">
        <v>648.9</v>
      </c>
      <c r="I65" s="8">
        <v>679.56</v>
      </c>
      <c r="J65" s="8">
        <v>704.34</v>
      </c>
      <c r="K65" s="8">
        <v>696.78</v>
      </c>
      <c r="L65" s="8">
        <v>688.8</v>
      </c>
      <c r="M65" s="8">
        <v>665.28</v>
      </c>
      <c r="N65" s="8">
        <v>657.72</v>
      </c>
      <c r="O65" s="8">
        <v>662.34</v>
      </c>
      <c r="P65" s="8">
        <v>650.58000000000004</v>
      </c>
      <c r="Q65" s="8">
        <v>641.76</v>
      </c>
      <c r="R65" s="8">
        <v>632.1</v>
      </c>
      <c r="S65" s="8">
        <v>678.3</v>
      </c>
      <c r="T65" s="8">
        <v>727.86</v>
      </c>
      <c r="U65" s="8">
        <v>797.16</v>
      </c>
      <c r="V65" s="8">
        <v>798</v>
      </c>
      <c r="W65" s="8">
        <v>766.5</v>
      </c>
      <c r="X65" s="8">
        <v>724.92</v>
      </c>
      <c r="Y65" s="8">
        <v>708.12</v>
      </c>
      <c r="Z65" s="8">
        <v>639.66</v>
      </c>
    </row>
    <row r="66" spans="1:26" x14ac:dyDescent="0.25">
      <c r="A66" s="4">
        <v>41333</v>
      </c>
      <c r="B66" s="5">
        <f>SUM('2013 - 8760 Load'!_Day425)</f>
        <v>15565.199999999999</v>
      </c>
      <c r="C66" s="8">
        <v>594.29999999999995</v>
      </c>
      <c r="D66" s="8">
        <v>573.72</v>
      </c>
      <c r="E66" s="8">
        <v>571.20000000000005</v>
      </c>
      <c r="F66" s="8">
        <v>558.6</v>
      </c>
      <c r="G66" s="8">
        <v>574.55999999999995</v>
      </c>
      <c r="H66" s="8">
        <v>621.17999999999995</v>
      </c>
      <c r="I66" s="8">
        <v>672</v>
      </c>
      <c r="J66" s="8">
        <v>651</v>
      </c>
      <c r="K66" s="8">
        <v>630.41999999999996</v>
      </c>
      <c r="L66" s="8">
        <v>632.52</v>
      </c>
      <c r="M66" s="8">
        <v>609</v>
      </c>
      <c r="N66" s="8">
        <v>621.6</v>
      </c>
      <c r="O66" s="8">
        <v>618.24</v>
      </c>
      <c r="P66" s="8">
        <v>606.48</v>
      </c>
      <c r="Q66" s="8">
        <v>606.9</v>
      </c>
      <c r="R66" s="8">
        <v>629.58000000000004</v>
      </c>
      <c r="S66" s="8">
        <v>656.46</v>
      </c>
      <c r="T66" s="8">
        <v>704.76</v>
      </c>
      <c r="U66" s="8">
        <v>787.08</v>
      </c>
      <c r="V66" s="8">
        <v>787.92</v>
      </c>
      <c r="W66" s="8">
        <v>771.96</v>
      </c>
      <c r="X66" s="8">
        <v>753.9</v>
      </c>
      <c r="Y66" s="8">
        <v>690.06</v>
      </c>
      <c r="Z66" s="8">
        <v>641.76</v>
      </c>
    </row>
    <row r="67" spans="1:26" x14ac:dyDescent="0.25">
      <c r="A67" s="4">
        <v>41334</v>
      </c>
      <c r="B67" s="5">
        <f>SUM('2013 - 8760 Load'!_Day426)</f>
        <v>16462.740000000002</v>
      </c>
      <c r="C67" s="8">
        <v>618.24</v>
      </c>
      <c r="D67" s="8">
        <v>591.78</v>
      </c>
      <c r="E67" s="8">
        <v>586.32000000000005</v>
      </c>
      <c r="F67" s="8">
        <v>582.12</v>
      </c>
      <c r="G67" s="8">
        <v>595.55999999999995</v>
      </c>
      <c r="H67" s="8">
        <v>627.48</v>
      </c>
      <c r="I67" s="8">
        <v>714</v>
      </c>
      <c r="J67" s="8">
        <v>685.02</v>
      </c>
      <c r="K67" s="8">
        <v>682.5</v>
      </c>
      <c r="L67" s="8">
        <v>653.1</v>
      </c>
      <c r="M67" s="8">
        <v>673.26</v>
      </c>
      <c r="N67" s="8">
        <v>632.94000000000005</v>
      </c>
      <c r="O67" s="8">
        <v>634.62</v>
      </c>
      <c r="P67" s="8">
        <v>635.88</v>
      </c>
      <c r="Q67" s="8">
        <v>648.05999999999995</v>
      </c>
      <c r="R67" s="8">
        <v>656.04</v>
      </c>
      <c r="S67" s="8">
        <v>710.22</v>
      </c>
      <c r="T67" s="8">
        <v>766.5</v>
      </c>
      <c r="U67" s="8">
        <v>840.84</v>
      </c>
      <c r="V67" s="8">
        <v>811.02</v>
      </c>
      <c r="W67" s="8">
        <v>828.24</v>
      </c>
      <c r="X67" s="8">
        <v>803.46</v>
      </c>
      <c r="Y67" s="8">
        <v>762.72</v>
      </c>
      <c r="Z67" s="8">
        <v>722.82</v>
      </c>
    </row>
    <row r="68" spans="1:26" x14ac:dyDescent="0.25">
      <c r="A68" s="4">
        <v>41335</v>
      </c>
      <c r="B68" s="5">
        <f>SUM('2013 - 8760 Load'!_Day427)</f>
        <v>18317.46</v>
      </c>
      <c r="C68" s="8">
        <v>684.18</v>
      </c>
      <c r="D68" s="8">
        <v>656.88</v>
      </c>
      <c r="E68" s="8">
        <v>648.48</v>
      </c>
      <c r="F68" s="8">
        <v>641.34</v>
      </c>
      <c r="G68" s="8">
        <v>649.74</v>
      </c>
      <c r="H68" s="8">
        <v>662.34</v>
      </c>
      <c r="I68" s="8">
        <v>687.12</v>
      </c>
      <c r="J68" s="8">
        <v>714.42</v>
      </c>
      <c r="K68" s="8">
        <v>777.84</v>
      </c>
      <c r="L68" s="8">
        <v>794.22</v>
      </c>
      <c r="M68" s="8">
        <v>802.62</v>
      </c>
      <c r="N68" s="8">
        <v>786.24</v>
      </c>
      <c r="O68" s="8">
        <v>766.92</v>
      </c>
      <c r="P68" s="8">
        <v>778.68</v>
      </c>
      <c r="Q68" s="8">
        <v>781.2</v>
      </c>
      <c r="R68" s="8">
        <v>803.46</v>
      </c>
      <c r="S68" s="8">
        <v>804.72</v>
      </c>
      <c r="T68" s="8">
        <v>830.34</v>
      </c>
      <c r="U68" s="8">
        <v>901.74</v>
      </c>
      <c r="V68" s="8">
        <v>883.26</v>
      </c>
      <c r="W68" s="8">
        <v>870.66</v>
      </c>
      <c r="X68" s="8">
        <v>839.16</v>
      </c>
      <c r="Y68" s="8">
        <v>800.1</v>
      </c>
      <c r="Z68" s="8">
        <v>751.8</v>
      </c>
    </row>
    <row r="69" spans="1:26" x14ac:dyDescent="0.25">
      <c r="A69" s="4">
        <v>41336</v>
      </c>
      <c r="B69" s="5">
        <f>SUM('2013 - 8760 Load'!_Day428)</f>
        <v>18471.18</v>
      </c>
      <c r="C69" s="8">
        <v>724.5</v>
      </c>
      <c r="D69" s="8">
        <v>696.36</v>
      </c>
      <c r="E69" s="8">
        <v>687.54</v>
      </c>
      <c r="F69" s="8">
        <v>665.7</v>
      </c>
      <c r="G69" s="8">
        <v>673.26</v>
      </c>
      <c r="H69" s="8">
        <v>693.42</v>
      </c>
      <c r="I69" s="8">
        <v>721.56</v>
      </c>
      <c r="J69" s="8">
        <v>741.72</v>
      </c>
      <c r="K69" s="8">
        <v>803.04</v>
      </c>
      <c r="L69" s="8">
        <v>860.16</v>
      </c>
      <c r="M69" s="8">
        <v>829.92</v>
      </c>
      <c r="N69" s="8">
        <v>794.22</v>
      </c>
      <c r="O69" s="8">
        <v>780.78</v>
      </c>
      <c r="P69" s="8">
        <v>749.7</v>
      </c>
      <c r="Q69" s="8">
        <v>746.34</v>
      </c>
      <c r="R69" s="8">
        <v>740.46</v>
      </c>
      <c r="S69" s="8">
        <v>800.94</v>
      </c>
      <c r="T69" s="8">
        <v>828.66</v>
      </c>
      <c r="U69" s="8">
        <v>883.26</v>
      </c>
      <c r="V69" s="8">
        <v>891.66</v>
      </c>
      <c r="W69" s="8">
        <v>868.14</v>
      </c>
      <c r="X69" s="8">
        <v>805.98</v>
      </c>
      <c r="Y69" s="8">
        <v>776.58</v>
      </c>
      <c r="Z69" s="8">
        <v>707.28</v>
      </c>
    </row>
    <row r="70" spans="1:26" x14ac:dyDescent="0.25">
      <c r="A70" s="4">
        <v>41337</v>
      </c>
      <c r="B70" s="5">
        <f>SUM('2013 - 8760 Load'!_Day429)</f>
        <v>17468.22</v>
      </c>
      <c r="C70" s="8">
        <v>678.72</v>
      </c>
      <c r="D70" s="8">
        <v>670.32</v>
      </c>
      <c r="E70" s="8">
        <v>648.9</v>
      </c>
      <c r="F70" s="8">
        <v>651</v>
      </c>
      <c r="G70" s="8">
        <v>666.96</v>
      </c>
      <c r="H70" s="8">
        <v>703.5</v>
      </c>
      <c r="I70" s="8">
        <v>753.48</v>
      </c>
      <c r="J70" s="8">
        <v>736.26</v>
      </c>
      <c r="K70" s="8">
        <v>726.18</v>
      </c>
      <c r="L70" s="8">
        <v>703.08</v>
      </c>
      <c r="M70" s="8">
        <v>690.48</v>
      </c>
      <c r="N70" s="8">
        <v>680.4</v>
      </c>
      <c r="O70" s="8">
        <v>685.86</v>
      </c>
      <c r="P70" s="8">
        <v>679.14</v>
      </c>
      <c r="Q70" s="8">
        <v>690.9</v>
      </c>
      <c r="R70" s="8">
        <v>696.36</v>
      </c>
      <c r="S70" s="8">
        <v>722.82</v>
      </c>
      <c r="T70" s="8">
        <v>822.78</v>
      </c>
      <c r="U70" s="8">
        <v>894.18</v>
      </c>
      <c r="V70" s="8">
        <v>854.28</v>
      </c>
      <c r="W70" s="8">
        <v>827.82</v>
      </c>
      <c r="X70" s="8">
        <v>805.14</v>
      </c>
      <c r="Y70" s="8">
        <v>763.98</v>
      </c>
      <c r="Z70" s="8">
        <v>715.68</v>
      </c>
    </row>
    <row r="71" spans="1:26" x14ac:dyDescent="0.25">
      <c r="A71" s="4">
        <v>41338</v>
      </c>
      <c r="B71" s="5">
        <f>SUM('2013 - 8760 Load'!_Day430)</f>
        <v>16123.380000000003</v>
      </c>
      <c r="C71" s="8">
        <v>667.8</v>
      </c>
      <c r="D71" s="8">
        <v>663.6</v>
      </c>
      <c r="E71" s="8">
        <v>645.96</v>
      </c>
      <c r="F71" s="8">
        <v>641.76</v>
      </c>
      <c r="G71" s="8">
        <v>647.64</v>
      </c>
      <c r="H71" s="8">
        <v>698.88</v>
      </c>
      <c r="I71" s="8">
        <v>753.06</v>
      </c>
      <c r="J71" s="8">
        <v>735.84</v>
      </c>
      <c r="K71" s="8">
        <v>690.06</v>
      </c>
      <c r="L71" s="8">
        <v>662.34</v>
      </c>
      <c r="M71" s="8">
        <v>642.6</v>
      </c>
      <c r="N71" s="8">
        <v>642.6</v>
      </c>
      <c r="O71" s="8">
        <v>611.52</v>
      </c>
      <c r="P71" s="8">
        <v>590.52</v>
      </c>
      <c r="Q71" s="8">
        <v>590.94000000000005</v>
      </c>
      <c r="R71" s="8">
        <v>587.58000000000004</v>
      </c>
      <c r="S71" s="8">
        <v>590.94000000000005</v>
      </c>
      <c r="T71" s="8">
        <v>663.6</v>
      </c>
      <c r="U71" s="8">
        <v>755.58</v>
      </c>
      <c r="V71" s="8">
        <v>797.16</v>
      </c>
      <c r="W71" s="8">
        <v>773.64</v>
      </c>
      <c r="X71" s="8">
        <v>749.28</v>
      </c>
      <c r="Y71" s="8">
        <v>688.8</v>
      </c>
      <c r="Z71" s="8">
        <v>631.67999999999995</v>
      </c>
    </row>
    <row r="72" spans="1:26" x14ac:dyDescent="0.25">
      <c r="A72" s="4">
        <v>41339</v>
      </c>
      <c r="B72" s="5">
        <f>SUM('2013 - 8760 Load'!_Day431)</f>
        <v>16217.88</v>
      </c>
      <c r="C72" s="8">
        <v>603.96</v>
      </c>
      <c r="D72" s="8">
        <v>583.38</v>
      </c>
      <c r="E72" s="8">
        <v>578.76</v>
      </c>
      <c r="F72" s="8">
        <v>573.29999999999995</v>
      </c>
      <c r="G72" s="8">
        <v>584.64</v>
      </c>
      <c r="H72" s="8">
        <v>630.41999999999996</v>
      </c>
      <c r="I72" s="8">
        <v>692.58</v>
      </c>
      <c r="J72" s="8">
        <v>665.7</v>
      </c>
      <c r="K72" s="8">
        <v>635.04</v>
      </c>
      <c r="L72" s="8">
        <v>633.36</v>
      </c>
      <c r="M72" s="8">
        <v>635.88</v>
      </c>
      <c r="N72" s="8">
        <v>633.78</v>
      </c>
      <c r="O72" s="8">
        <v>640.91999999999996</v>
      </c>
      <c r="P72" s="8">
        <v>633.36</v>
      </c>
      <c r="Q72" s="8">
        <v>628.32000000000005</v>
      </c>
      <c r="R72" s="8">
        <v>666.54</v>
      </c>
      <c r="S72" s="8">
        <v>735.84</v>
      </c>
      <c r="T72" s="8">
        <v>795.06</v>
      </c>
      <c r="U72" s="8">
        <v>848.4</v>
      </c>
      <c r="V72" s="8">
        <v>822.78</v>
      </c>
      <c r="W72" s="8">
        <v>816.06</v>
      </c>
      <c r="X72" s="8">
        <v>792.12</v>
      </c>
      <c r="Y72" s="8">
        <v>729.96</v>
      </c>
      <c r="Z72" s="8">
        <v>657.72</v>
      </c>
    </row>
    <row r="73" spans="1:26" x14ac:dyDescent="0.25">
      <c r="A73" s="4">
        <v>41340</v>
      </c>
      <c r="B73" s="5">
        <f>SUM('2013 - 8760 Load'!_Day432)</f>
        <v>15317.819999999998</v>
      </c>
      <c r="C73" s="8">
        <v>611.1</v>
      </c>
      <c r="D73" s="8">
        <v>603.54</v>
      </c>
      <c r="E73" s="8">
        <v>595.98</v>
      </c>
      <c r="F73" s="8">
        <v>591.78</v>
      </c>
      <c r="G73" s="8">
        <v>610.67999999999995</v>
      </c>
      <c r="H73" s="8">
        <v>651.41999999999996</v>
      </c>
      <c r="I73" s="8">
        <v>682.5</v>
      </c>
      <c r="J73" s="8">
        <v>676.2</v>
      </c>
      <c r="K73" s="8">
        <v>676.2</v>
      </c>
      <c r="L73" s="8">
        <v>669.06</v>
      </c>
      <c r="M73" s="8">
        <v>651.41999999999996</v>
      </c>
      <c r="N73" s="8">
        <v>630.84</v>
      </c>
      <c r="O73" s="8">
        <v>636.29999999999995</v>
      </c>
      <c r="P73" s="8">
        <v>627.48</v>
      </c>
      <c r="Q73" s="8">
        <v>0.42</v>
      </c>
      <c r="R73" s="8">
        <v>318.36</v>
      </c>
      <c r="S73" s="8">
        <v>707.7</v>
      </c>
      <c r="T73" s="8">
        <v>753.06</v>
      </c>
      <c r="U73" s="8">
        <v>822.36</v>
      </c>
      <c r="V73" s="8">
        <v>814.38</v>
      </c>
      <c r="W73" s="8">
        <v>798.84</v>
      </c>
      <c r="X73" s="8">
        <v>761.46</v>
      </c>
      <c r="Y73" s="8">
        <v>733.32</v>
      </c>
      <c r="Z73" s="8">
        <v>693.42</v>
      </c>
    </row>
    <row r="74" spans="1:26" x14ac:dyDescent="0.25">
      <c r="A74" s="4">
        <v>41341</v>
      </c>
      <c r="B74" s="5">
        <f>SUM('2013 - 8760 Load'!_Day433)</f>
        <v>17022.180000000004</v>
      </c>
      <c r="C74" s="8">
        <v>645.12</v>
      </c>
      <c r="D74" s="8">
        <v>609.41999999999996</v>
      </c>
      <c r="E74" s="8">
        <v>617.4</v>
      </c>
      <c r="F74" s="8">
        <v>608.16</v>
      </c>
      <c r="G74" s="8">
        <v>622.44000000000005</v>
      </c>
      <c r="H74" s="8">
        <v>640.5</v>
      </c>
      <c r="I74" s="8">
        <v>680.4</v>
      </c>
      <c r="J74" s="8">
        <v>689.22</v>
      </c>
      <c r="K74" s="8">
        <v>726.18</v>
      </c>
      <c r="L74" s="8">
        <v>727.02</v>
      </c>
      <c r="M74" s="8">
        <v>719.04</v>
      </c>
      <c r="N74" s="8">
        <v>732.48</v>
      </c>
      <c r="O74" s="8">
        <v>711.48</v>
      </c>
      <c r="P74" s="8">
        <v>707.28</v>
      </c>
      <c r="Q74" s="8">
        <v>676.62</v>
      </c>
      <c r="R74" s="8">
        <v>685.44</v>
      </c>
      <c r="S74" s="8">
        <v>704.76</v>
      </c>
      <c r="T74" s="8">
        <v>738.36</v>
      </c>
      <c r="U74" s="8">
        <v>816.9</v>
      </c>
      <c r="V74" s="8">
        <v>842.94</v>
      </c>
      <c r="W74" s="8">
        <v>825.3</v>
      </c>
      <c r="X74" s="8">
        <v>803.88</v>
      </c>
      <c r="Y74" s="8">
        <v>761.46</v>
      </c>
      <c r="Z74" s="8">
        <v>730.38</v>
      </c>
    </row>
    <row r="75" spans="1:26" x14ac:dyDescent="0.25">
      <c r="A75" s="4">
        <v>41342</v>
      </c>
      <c r="B75" s="5">
        <f>SUM('2013 - 8760 Load'!_Day434)</f>
        <v>16705.5</v>
      </c>
      <c r="C75" s="8">
        <v>701.4</v>
      </c>
      <c r="D75" s="8">
        <v>679.56</v>
      </c>
      <c r="E75" s="8">
        <v>651</v>
      </c>
      <c r="F75" s="8">
        <v>652.26</v>
      </c>
      <c r="G75" s="8">
        <v>665.28</v>
      </c>
      <c r="H75" s="8">
        <v>670.74</v>
      </c>
      <c r="I75" s="8">
        <v>708.12</v>
      </c>
      <c r="J75" s="8">
        <v>716.94</v>
      </c>
      <c r="K75" s="8">
        <v>743.82</v>
      </c>
      <c r="L75" s="8">
        <v>719.04</v>
      </c>
      <c r="M75" s="8">
        <v>699.72</v>
      </c>
      <c r="N75" s="8">
        <v>686.28</v>
      </c>
      <c r="O75" s="8">
        <v>682.5</v>
      </c>
      <c r="P75" s="8">
        <v>655.62</v>
      </c>
      <c r="Q75" s="8">
        <v>677.46</v>
      </c>
      <c r="R75" s="8">
        <v>657.72</v>
      </c>
      <c r="S75" s="8">
        <v>669.06</v>
      </c>
      <c r="T75" s="8">
        <v>685.44</v>
      </c>
      <c r="U75" s="8">
        <v>747.18</v>
      </c>
      <c r="V75" s="8">
        <v>753.9</v>
      </c>
      <c r="W75" s="8">
        <v>748.86</v>
      </c>
      <c r="X75" s="8">
        <v>740.88</v>
      </c>
      <c r="Y75" s="8">
        <v>725.76</v>
      </c>
      <c r="Z75" s="8">
        <v>666.96</v>
      </c>
    </row>
    <row r="76" spans="1:26" x14ac:dyDescent="0.25">
      <c r="A76" s="4">
        <v>41343</v>
      </c>
      <c r="B76" s="5">
        <f>SUM('2013 - 8760 Load'!_Day435)</f>
        <v>15400.139999999998</v>
      </c>
      <c r="C76" s="8">
        <v>627.9</v>
      </c>
      <c r="D76" s="8">
        <v>624.12</v>
      </c>
      <c r="E76" s="8">
        <v>613.62</v>
      </c>
      <c r="F76" s="8">
        <v>610.26</v>
      </c>
      <c r="G76" s="8">
        <v>627.9</v>
      </c>
      <c r="H76" s="8">
        <v>631.26</v>
      </c>
      <c r="I76" s="8">
        <v>683.34</v>
      </c>
      <c r="J76" s="8">
        <v>723.66</v>
      </c>
      <c r="K76" s="8">
        <v>721.14</v>
      </c>
      <c r="L76" s="8">
        <v>709.38</v>
      </c>
      <c r="M76" s="8">
        <v>694.68</v>
      </c>
      <c r="N76" s="8">
        <v>666.54</v>
      </c>
      <c r="O76" s="8">
        <v>661.5</v>
      </c>
      <c r="P76" s="8">
        <v>596.82000000000005</v>
      </c>
      <c r="Q76" s="8">
        <v>553.98</v>
      </c>
      <c r="R76" s="8">
        <v>565.74</v>
      </c>
      <c r="S76" s="8">
        <v>584.22</v>
      </c>
      <c r="T76" s="8">
        <v>623.28</v>
      </c>
      <c r="U76" s="8">
        <v>701.82</v>
      </c>
      <c r="V76" s="8">
        <v>711.9</v>
      </c>
      <c r="W76" s="8">
        <v>670.32</v>
      </c>
      <c r="X76" s="8">
        <v>643.02</v>
      </c>
      <c r="Y76" s="8">
        <v>597.24</v>
      </c>
      <c r="Z76" s="8">
        <v>556.5</v>
      </c>
    </row>
    <row r="77" spans="1:26" x14ac:dyDescent="0.25">
      <c r="A77" s="4">
        <v>41344</v>
      </c>
      <c r="B77" s="5">
        <f>SUM('2013 - 8760 Load'!_Day436)</f>
        <v>14450.940000000002</v>
      </c>
      <c r="C77" s="8">
        <v>536.76</v>
      </c>
      <c r="D77" s="8">
        <v>529.62</v>
      </c>
      <c r="E77" s="8">
        <v>531.72</v>
      </c>
      <c r="F77" s="8">
        <v>545.58000000000004</v>
      </c>
      <c r="G77" s="8">
        <v>596.4</v>
      </c>
      <c r="H77" s="8">
        <v>641.34</v>
      </c>
      <c r="I77" s="8">
        <v>643.02</v>
      </c>
      <c r="J77" s="8">
        <v>599.34</v>
      </c>
      <c r="K77" s="8">
        <v>604.79999999999995</v>
      </c>
      <c r="L77" s="8">
        <v>610.67999999999995</v>
      </c>
      <c r="M77" s="8">
        <v>592.20000000000005</v>
      </c>
      <c r="N77" s="8">
        <v>571.20000000000005</v>
      </c>
      <c r="O77" s="8">
        <v>574.98</v>
      </c>
      <c r="P77" s="8">
        <v>578.76</v>
      </c>
      <c r="Q77" s="8">
        <v>578.76</v>
      </c>
      <c r="R77" s="8">
        <v>586.74</v>
      </c>
      <c r="S77" s="8">
        <v>630.41999999999996</v>
      </c>
      <c r="T77" s="8">
        <v>655.62</v>
      </c>
      <c r="U77" s="8">
        <v>742.56</v>
      </c>
      <c r="V77" s="8">
        <v>724.92</v>
      </c>
      <c r="W77" s="8">
        <v>674.1</v>
      </c>
      <c r="X77" s="8">
        <v>618.24</v>
      </c>
      <c r="Y77" s="8">
        <v>561.54</v>
      </c>
      <c r="Z77" s="8">
        <v>521.64</v>
      </c>
    </row>
    <row r="78" spans="1:26" x14ac:dyDescent="0.25">
      <c r="A78" s="4">
        <v>41345</v>
      </c>
      <c r="B78" s="5">
        <f>SUM('2013 - 8760 Load'!_Day437)</f>
        <v>14281.680000000002</v>
      </c>
      <c r="C78" s="8">
        <v>510.72</v>
      </c>
      <c r="D78" s="8">
        <v>498.54</v>
      </c>
      <c r="E78" s="8">
        <v>492.24</v>
      </c>
      <c r="F78" s="8">
        <v>486.36</v>
      </c>
      <c r="G78" s="8">
        <v>538.02</v>
      </c>
      <c r="H78" s="8">
        <v>583.38</v>
      </c>
      <c r="I78" s="8">
        <v>575.4</v>
      </c>
      <c r="J78" s="8">
        <v>569.52</v>
      </c>
      <c r="K78" s="8">
        <v>587.58000000000004</v>
      </c>
      <c r="L78" s="8">
        <v>601.02</v>
      </c>
      <c r="M78" s="8">
        <v>587.16</v>
      </c>
      <c r="N78" s="8">
        <v>609.41999999999996</v>
      </c>
      <c r="O78" s="8">
        <v>589.67999999999995</v>
      </c>
      <c r="P78" s="8">
        <v>592.62</v>
      </c>
      <c r="Q78" s="8">
        <v>580.86</v>
      </c>
      <c r="R78" s="8">
        <v>602.70000000000005</v>
      </c>
      <c r="S78" s="8">
        <v>641.76</v>
      </c>
      <c r="T78" s="8">
        <v>674.94</v>
      </c>
      <c r="U78" s="8">
        <v>717.36</v>
      </c>
      <c r="V78" s="8">
        <v>722.4</v>
      </c>
      <c r="W78" s="8">
        <v>711.48</v>
      </c>
      <c r="X78" s="8">
        <v>643.02</v>
      </c>
      <c r="Y78" s="8">
        <v>588</v>
      </c>
      <c r="Z78" s="8">
        <v>577.5</v>
      </c>
    </row>
    <row r="79" spans="1:26" x14ac:dyDescent="0.25">
      <c r="A79" s="4">
        <v>41346</v>
      </c>
      <c r="B79" s="5">
        <f>SUM('2013 - 8760 Load'!_Day438)</f>
        <v>14975.52</v>
      </c>
      <c r="C79" s="8">
        <v>539.70000000000005</v>
      </c>
      <c r="D79" s="8">
        <v>536.34</v>
      </c>
      <c r="E79" s="8">
        <v>539.70000000000005</v>
      </c>
      <c r="F79" s="8">
        <v>539.28</v>
      </c>
      <c r="G79" s="8">
        <v>577.08000000000004</v>
      </c>
      <c r="H79" s="8">
        <v>656.88</v>
      </c>
      <c r="I79" s="8">
        <v>653.94000000000005</v>
      </c>
      <c r="J79" s="8">
        <v>635.04</v>
      </c>
      <c r="K79" s="8">
        <v>619.5</v>
      </c>
      <c r="L79" s="8">
        <v>589.67999999999995</v>
      </c>
      <c r="M79" s="8">
        <v>609.41999999999996</v>
      </c>
      <c r="N79" s="8">
        <v>572.88</v>
      </c>
      <c r="O79" s="8">
        <v>576.66</v>
      </c>
      <c r="P79" s="8">
        <v>577.08000000000004</v>
      </c>
      <c r="Q79" s="8">
        <v>582.12</v>
      </c>
      <c r="R79" s="8">
        <v>603.96</v>
      </c>
      <c r="S79" s="8">
        <v>659.4</v>
      </c>
      <c r="T79" s="8">
        <v>656.88</v>
      </c>
      <c r="U79" s="8">
        <v>742.14</v>
      </c>
      <c r="V79" s="8">
        <v>778.26</v>
      </c>
      <c r="W79" s="8">
        <v>770.28</v>
      </c>
      <c r="X79" s="8">
        <v>706.86</v>
      </c>
      <c r="Y79" s="8">
        <v>648.48</v>
      </c>
      <c r="Z79" s="8">
        <v>603.96</v>
      </c>
    </row>
    <row r="80" spans="1:26" x14ac:dyDescent="0.25">
      <c r="A80" s="4">
        <v>41347</v>
      </c>
      <c r="B80" s="5">
        <f>SUM('2013 - 8760 Load'!_Day439)</f>
        <v>16874.760000000002</v>
      </c>
      <c r="C80" s="8">
        <v>587.16</v>
      </c>
      <c r="D80" s="8">
        <v>576.66</v>
      </c>
      <c r="E80" s="8">
        <v>587.58000000000004</v>
      </c>
      <c r="F80" s="8">
        <v>595.55999999999995</v>
      </c>
      <c r="G80" s="8">
        <v>654.36</v>
      </c>
      <c r="H80" s="8">
        <v>724.5</v>
      </c>
      <c r="I80" s="8">
        <v>729.54</v>
      </c>
      <c r="J80" s="8">
        <v>722.4</v>
      </c>
      <c r="K80" s="8">
        <v>726.6</v>
      </c>
      <c r="L80" s="8">
        <v>742.14</v>
      </c>
      <c r="M80" s="8">
        <v>719.46</v>
      </c>
      <c r="N80" s="8">
        <v>709.38</v>
      </c>
      <c r="O80" s="8">
        <v>682.08</v>
      </c>
      <c r="P80" s="8">
        <v>668.64</v>
      </c>
      <c r="Q80" s="8">
        <v>656.88</v>
      </c>
      <c r="R80" s="8">
        <v>685.86</v>
      </c>
      <c r="S80" s="8">
        <v>727.86</v>
      </c>
      <c r="T80" s="8">
        <v>764.82</v>
      </c>
      <c r="U80" s="8">
        <v>820.68</v>
      </c>
      <c r="V80" s="8">
        <v>824.04</v>
      </c>
      <c r="W80" s="8">
        <v>815.64</v>
      </c>
      <c r="X80" s="8">
        <v>792.54</v>
      </c>
      <c r="Y80" s="8">
        <v>690.06</v>
      </c>
      <c r="Z80" s="8">
        <v>670.32</v>
      </c>
    </row>
    <row r="81" spans="1:26" x14ac:dyDescent="0.25">
      <c r="A81" s="4">
        <v>41348</v>
      </c>
      <c r="B81" s="5">
        <f>SUM('2013 - 8760 Load'!_Day440)</f>
        <v>17367.419999999998</v>
      </c>
      <c r="C81" s="8">
        <v>651</v>
      </c>
      <c r="D81" s="8">
        <v>633.36</v>
      </c>
      <c r="E81" s="8">
        <v>621.6</v>
      </c>
      <c r="F81" s="8">
        <v>630</v>
      </c>
      <c r="G81" s="8">
        <v>678.72</v>
      </c>
      <c r="H81" s="8">
        <v>743.82</v>
      </c>
      <c r="I81" s="8">
        <v>746.34</v>
      </c>
      <c r="J81" s="8">
        <v>726.6</v>
      </c>
      <c r="K81" s="8">
        <v>714.84</v>
      </c>
      <c r="L81" s="8">
        <v>691.32</v>
      </c>
      <c r="M81" s="8">
        <v>700.14</v>
      </c>
      <c r="N81" s="8">
        <v>729.12</v>
      </c>
      <c r="O81" s="8">
        <v>713.58</v>
      </c>
      <c r="P81" s="8">
        <v>695.94</v>
      </c>
      <c r="Q81" s="8">
        <v>689.64</v>
      </c>
      <c r="R81" s="8">
        <v>718.62</v>
      </c>
      <c r="S81" s="8">
        <v>771.54</v>
      </c>
      <c r="T81" s="8">
        <v>790.86</v>
      </c>
      <c r="U81" s="8">
        <v>829.08</v>
      </c>
      <c r="V81" s="8">
        <v>835.38</v>
      </c>
      <c r="W81" s="8">
        <v>818.58</v>
      </c>
      <c r="X81" s="8">
        <v>786.66</v>
      </c>
      <c r="Y81" s="8">
        <v>748.86</v>
      </c>
      <c r="Z81" s="8">
        <v>701.82</v>
      </c>
    </row>
    <row r="82" spans="1:26" x14ac:dyDescent="0.25">
      <c r="A82" s="4">
        <v>41349</v>
      </c>
      <c r="B82" s="5">
        <f>SUM('2013 - 8760 Load'!_Day441)</f>
        <v>18018.419999999998</v>
      </c>
      <c r="C82" s="8">
        <v>641.34</v>
      </c>
      <c r="D82" s="8">
        <v>642.6</v>
      </c>
      <c r="E82" s="8">
        <v>642.17999999999995</v>
      </c>
      <c r="F82" s="8">
        <v>643.86</v>
      </c>
      <c r="G82" s="8">
        <v>661.08</v>
      </c>
      <c r="H82" s="8">
        <v>682.92</v>
      </c>
      <c r="I82" s="8">
        <v>723.24</v>
      </c>
      <c r="J82" s="8">
        <v>770.7</v>
      </c>
      <c r="K82" s="8">
        <v>824.04</v>
      </c>
      <c r="L82" s="8">
        <v>783.72</v>
      </c>
      <c r="M82" s="8">
        <v>774.48</v>
      </c>
      <c r="N82" s="8">
        <v>769.86</v>
      </c>
      <c r="O82" s="8">
        <v>763.14</v>
      </c>
      <c r="P82" s="8">
        <v>784.98</v>
      </c>
      <c r="Q82" s="8">
        <v>781.2</v>
      </c>
      <c r="R82" s="8">
        <v>784.98</v>
      </c>
      <c r="S82" s="8">
        <v>811.86</v>
      </c>
      <c r="T82" s="8">
        <v>824.46</v>
      </c>
      <c r="U82" s="8">
        <v>847.98</v>
      </c>
      <c r="V82" s="8">
        <v>855.12</v>
      </c>
      <c r="W82" s="8">
        <v>803.04</v>
      </c>
      <c r="X82" s="8">
        <v>779.1</v>
      </c>
      <c r="Y82" s="8">
        <v>729.54</v>
      </c>
      <c r="Z82" s="8">
        <v>693</v>
      </c>
    </row>
    <row r="83" spans="1:26" x14ac:dyDescent="0.25">
      <c r="A83" s="4">
        <v>41350</v>
      </c>
      <c r="B83" s="5">
        <f>SUM('2013 - 8760 Load'!_Day442)</f>
        <v>17746.259999999998</v>
      </c>
      <c r="C83" s="8">
        <v>652.26</v>
      </c>
      <c r="D83" s="8">
        <v>631.67999999999995</v>
      </c>
      <c r="E83" s="8">
        <v>653.52</v>
      </c>
      <c r="F83" s="8">
        <v>651.41999999999996</v>
      </c>
      <c r="G83" s="8">
        <v>674.52</v>
      </c>
      <c r="H83" s="8">
        <v>715.26</v>
      </c>
      <c r="I83" s="8">
        <v>741.3</v>
      </c>
      <c r="J83" s="8">
        <v>816.9</v>
      </c>
      <c r="K83" s="8">
        <v>847.98</v>
      </c>
      <c r="L83" s="8">
        <v>862.26</v>
      </c>
      <c r="M83" s="8">
        <v>822.36</v>
      </c>
      <c r="N83" s="8">
        <v>804.3</v>
      </c>
      <c r="O83" s="8">
        <v>812.28</v>
      </c>
      <c r="P83" s="8">
        <v>745.92</v>
      </c>
      <c r="Q83" s="8">
        <v>695.52</v>
      </c>
      <c r="R83" s="8">
        <v>708.54</v>
      </c>
      <c r="S83" s="8">
        <v>748.44</v>
      </c>
      <c r="T83" s="8">
        <v>747.18</v>
      </c>
      <c r="U83" s="8">
        <v>791.28</v>
      </c>
      <c r="V83" s="8">
        <v>804.3</v>
      </c>
      <c r="W83" s="8">
        <v>759.78</v>
      </c>
      <c r="X83" s="8">
        <v>725.34</v>
      </c>
      <c r="Y83" s="8">
        <v>676.62</v>
      </c>
      <c r="Z83" s="8">
        <v>657.3</v>
      </c>
    </row>
    <row r="84" spans="1:26" x14ac:dyDescent="0.25">
      <c r="A84" s="4">
        <v>41351</v>
      </c>
      <c r="B84" s="5">
        <f>SUM('2013 - 8760 Load'!_Day443)</f>
        <v>17469.060000000001</v>
      </c>
      <c r="C84" s="8">
        <v>633.78</v>
      </c>
      <c r="D84" s="8">
        <v>627.05999999999995</v>
      </c>
      <c r="E84" s="8">
        <v>630</v>
      </c>
      <c r="F84" s="8">
        <v>648.9</v>
      </c>
      <c r="G84" s="8">
        <v>711.9</v>
      </c>
      <c r="H84" s="8">
        <v>781.2</v>
      </c>
      <c r="I84" s="8">
        <v>773.64</v>
      </c>
      <c r="J84" s="8">
        <v>738.78</v>
      </c>
      <c r="K84" s="8">
        <v>716.1</v>
      </c>
      <c r="L84" s="8">
        <v>738.78</v>
      </c>
      <c r="M84" s="8">
        <v>703.08</v>
      </c>
      <c r="N84" s="8">
        <v>677.88</v>
      </c>
      <c r="O84" s="8">
        <v>677.88</v>
      </c>
      <c r="P84" s="8">
        <v>695.52</v>
      </c>
      <c r="Q84" s="8">
        <v>703.5</v>
      </c>
      <c r="R84" s="8">
        <v>745.5</v>
      </c>
      <c r="S84" s="8">
        <v>806.4</v>
      </c>
      <c r="T84" s="8">
        <v>811.02</v>
      </c>
      <c r="U84" s="8">
        <v>853.86</v>
      </c>
      <c r="V84" s="8">
        <v>841.68</v>
      </c>
      <c r="W84" s="8">
        <v>810.6</v>
      </c>
      <c r="X84" s="8">
        <v>761.46</v>
      </c>
      <c r="Y84" s="8">
        <v>709.8</v>
      </c>
      <c r="Z84" s="8">
        <v>670.74</v>
      </c>
    </row>
    <row r="85" spans="1:26" x14ac:dyDescent="0.25">
      <c r="A85" s="4">
        <v>41352</v>
      </c>
      <c r="B85" s="5">
        <f>SUM('2013 - 8760 Load'!_Day444)</f>
        <v>16871.819999999996</v>
      </c>
      <c r="C85" s="8">
        <v>653.1</v>
      </c>
      <c r="D85" s="8">
        <v>650.58000000000004</v>
      </c>
      <c r="E85" s="8">
        <v>636.72</v>
      </c>
      <c r="F85" s="8">
        <v>653.94000000000005</v>
      </c>
      <c r="G85" s="8">
        <v>659.82</v>
      </c>
      <c r="H85" s="8">
        <v>702.66</v>
      </c>
      <c r="I85" s="8">
        <v>738.78</v>
      </c>
      <c r="J85" s="8">
        <v>751.8</v>
      </c>
      <c r="K85" s="8">
        <v>774.06</v>
      </c>
      <c r="L85" s="8">
        <v>759.78</v>
      </c>
      <c r="M85" s="8">
        <v>731.64</v>
      </c>
      <c r="N85" s="8">
        <v>727.86</v>
      </c>
      <c r="O85" s="8">
        <v>701.4</v>
      </c>
      <c r="P85" s="8">
        <v>712.74</v>
      </c>
      <c r="Q85" s="8">
        <v>658.56</v>
      </c>
      <c r="R85" s="8">
        <v>647.22</v>
      </c>
      <c r="S85" s="8">
        <v>686.28</v>
      </c>
      <c r="T85" s="8">
        <v>730.8</v>
      </c>
      <c r="U85" s="8">
        <v>786.66</v>
      </c>
      <c r="V85" s="8">
        <v>772.8</v>
      </c>
      <c r="W85" s="8">
        <v>735</v>
      </c>
      <c r="X85" s="8">
        <v>698.04</v>
      </c>
      <c r="Y85" s="8">
        <v>658.14</v>
      </c>
      <c r="Z85" s="8">
        <v>643.44000000000005</v>
      </c>
    </row>
    <row r="86" spans="1:26" x14ac:dyDescent="0.25">
      <c r="A86" s="4">
        <v>41353</v>
      </c>
      <c r="B86" s="5">
        <f>SUM('2013 - 8760 Load'!_Day445)</f>
        <v>16572.36</v>
      </c>
      <c r="C86" s="8">
        <v>621.6</v>
      </c>
      <c r="D86" s="8">
        <v>616.55999999999995</v>
      </c>
      <c r="E86" s="8">
        <v>611.52</v>
      </c>
      <c r="F86" s="8">
        <v>608.58000000000004</v>
      </c>
      <c r="G86" s="8">
        <v>658.14</v>
      </c>
      <c r="H86" s="8">
        <v>722.82</v>
      </c>
      <c r="I86" s="8">
        <v>714.42</v>
      </c>
      <c r="J86" s="8">
        <v>695.1</v>
      </c>
      <c r="K86" s="8">
        <v>709.8</v>
      </c>
      <c r="L86" s="8">
        <v>704.34</v>
      </c>
      <c r="M86" s="8">
        <v>682.5</v>
      </c>
      <c r="N86" s="8">
        <v>674.52</v>
      </c>
      <c r="O86" s="8">
        <v>637.55999999999995</v>
      </c>
      <c r="P86" s="8">
        <v>664.02</v>
      </c>
      <c r="Q86" s="8">
        <v>653.52</v>
      </c>
      <c r="R86" s="8">
        <v>676.62</v>
      </c>
      <c r="S86" s="8">
        <v>717.36</v>
      </c>
      <c r="T86" s="8">
        <v>757.26</v>
      </c>
      <c r="U86" s="8">
        <v>782.88</v>
      </c>
      <c r="V86" s="8">
        <v>809.76</v>
      </c>
      <c r="W86" s="8">
        <v>790.02</v>
      </c>
      <c r="X86" s="8">
        <v>745.08</v>
      </c>
      <c r="Y86" s="8">
        <v>684.18</v>
      </c>
      <c r="Z86" s="8">
        <v>634.20000000000005</v>
      </c>
    </row>
    <row r="87" spans="1:26" x14ac:dyDescent="0.25">
      <c r="A87" s="4">
        <v>41354</v>
      </c>
      <c r="B87" s="5">
        <f>SUM('2013 - 8760 Load'!_Day446)</f>
        <v>16753.379999999997</v>
      </c>
      <c r="C87" s="8">
        <v>619.08000000000004</v>
      </c>
      <c r="D87" s="8">
        <v>621.17999999999995</v>
      </c>
      <c r="E87" s="8">
        <v>628.32000000000005</v>
      </c>
      <c r="F87" s="8">
        <v>636.72</v>
      </c>
      <c r="G87" s="8">
        <v>684.18</v>
      </c>
      <c r="H87" s="8">
        <v>771.96</v>
      </c>
      <c r="I87" s="8">
        <v>750.96</v>
      </c>
      <c r="J87" s="8">
        <v>732.06</v>
      </c>
      <c r="K87" s="8">
        <v>728.7</v>
      </c>
      <c r="L87" s="8">
        <v>711.9</v>
      </c>
      <c r="M87" s="8">
        <v>672</v>
      </c>
      <c r="N87" s="8">
        <v>642.17999999999995</v>
      </c>
      <c r="O87" s="8">
        <v>617.4</v>
      </c>
      <c r="P87" s="8">
        <v>624.96</v>
      </c>
      <c r="Q87" s="8">
        <v>616.14</v>
      </c>
      <c r="R87" s="8">
        <v>666.54</v>
      </c>
      <c r="S87" s="8">
        <v>713.16</v>
      </c>
      <c r="T87" s="8">
        <v>754.74</v>
      </c>
      <c r="U87" s="8">
        <v>821.52</v>
      </c>
      <c r="V87" s="8">
        <v>824.04</v>
      </c>
      <c r="W87" s="8">
        <v>793.8</v>
      </c>
      <c r="X87" s="8">
        <v>756</v>
      </c>
      <c r="Y87" s="8">
        <v>697.62</v>
      </c>
      <c r="Z87" s="8">
        <v>668.22</v>
      </c>
    </row>
    <row r="88" spans="1:26" x14ac:dyDescent="0.25">
      <c r="A88" s="4">
        <v>41355</v>
      </c>
      <c r="B88" s="5">
        <f>SUM('2013 - 8760 Load'!_Day447)</f>
        <v>17558.939999999999</v>
      </c>
      <c r="C88" s="8">
        <v>657.3</v>
      </c>
      <c r="D88" s="8">
        <v>650.16</v>
      </c>
      <c r="E88" s="8">
        <v>645.96</v>
      </c>
      <c r="F88" s="8">
        <v>669.06</v>
      </c>
      <c r="G88" s="8">
        <v>695.1</v>
      </c>
      <c r="H88" s="8">
        <v>761.88</v>
      </c>
      <c r="I88" s="8">
        <v>745.92</v>
      </c>
      <c r="J88" s="8">
        <v>738.78</v>
      </c>
      <c r="K88" s="8">
        <v>761.04</v>
      </c>
      <c r="L88" s="8">
        <v>742.56</v>
      </c>
      <c r="M88" s="8">
        <v>745.92</v>
      </c>
      <c r="N88" s="8">
        <v>721.98</v>
      </c>
      <c r="O88" s="8">
        <v>679.98</v>
      </c>
      <c r="P88" s="8">
        <v>680.82</v>
      </c>
      <c r="Q88" s="8">
        <v>685.86</v>
      </c>
      <c r="R88" s="8">
        <v>723.66</v>
      </c>
      <c r="S88" s="8">
        <v>766.08</v>
      </c>
      <c r="T88" s="8">
        <v>792.54</v>
      </c>
      <c r="U88" s="8">
        <v>826.98</v>
      </c>
      <c r="V88" s="8">
        <v>860.16</v>
      </c>
      <c r="W88" s="8">
        <v>824.88</v>
      </c>
      <c r="X88" s="8">
        <v>770.7</v>
      </c>
      <c r="Y88" s="8">
        <v>729.12</v>
      </c>
      <c r="Z88" s="8">
        <v>682.5</v>
      </c>
    </row>
    <row r="89" spans="1:26" x14ac:dyDescent="0.25">
      <c r="A89" s="4">
        <v>41356</v>
      </c>
      <c r="B89" s="5">
        <f>SUM('2013 - 8760 Load'!_Day448)</f>
        <v>17855.040000000005</v>
      </c>
      <c r="C89" s="8">
        <v>657.3</v>
      </c>
      <c r="D89" s="8">
        <v>643.86</v>
      </c>
      <c r="E89" s="8">
        <v>642.6</v>
      </c>
      <c r="F89" s="8">
        <v>650.16</v>
      </c>
      <c r="G89" s="8">
        <v>654.78</v>
      </c>
      <c r="H89" s="8">
        <v>682.92</v>
      </c>
      <c r="I89" s="8">
        <v>725.76</v>
      </c>
      <c r="J89" s="8">
        <v>755.16</v>
      </c>
      <c r="K89" s="8">
        <v>791.28</v>
      </c>
      <c r="L89" s="8">
        <v>766.5</v>
      </c>
      <c r="M89" s="8">
        <v>768.18</v>
      </c>
      <c r="N89" s="8">
        <v>761.04</v>
      </c>
      <c r="O89" s="8">
        <v>754.74</v>
      </c>
      <c r="P89" s="8">
        <v>716.1</v>
      </c>
      <c r="Q89" s="8">
        <v>717.78</v>
      </c>
      <c r="R89" s="8">
        <v>719.88</v>
      </c>
      <c r="S89" s="8">
        <v>766.92</v>
      </c>
      <c r="T89" s="8">
        <v>801.78</v>
      </c>
      <c r="U89" s="8">
        <v>863.94</v>
      </c>
      <c r="V89" s="8">
        <v>884.52</v>
      </c>
      <c r="W89" s="8">
        <v>851.34</v>
      </c>
      <c r="X89" s="8">
        <v>813.96</v>
      </c>
      <c r="Y89" s="8">
        <v>767.34</v>
      </c>
      <c r="Z89" s="8">
        <v>697.2</v>
      </c>
    </row>
    <row r="90" spans="1:26" x14ac:dyDescent="0.25">
      <c r="A90" s="4">
        <v>41357</v>
      </c>
      <c r="B90" s="5">
        <f>SUM('2013 - 8760 Load'!_Day449)</f>
        <v>16840.32</v>
      </c>
      <c r="C90" s="8">
        <v>685.02</v>
      </c>
      <c r="D90" s="8">
        <v>686.28</v>
      </c>
      <c r="E90" s="8">
        <v>671.16</v>
      </c>
      <c r="F90" s="8">
        <v>674.94</v>
      </c>
      <c r="G90" s="8">
        <v>685.86</v>
      </c>
      <c r="H90" s="8">
        <v>700.56</v>
      </c>
      <c r="I90" s="8">
        <v>745.92</v>
      </c>
      <c r="J90" s="8">
        <v>808.5</v>
      </c>
      <c r="K90" s="8">
        <v>846.72</v>
      </c>
      <c r="L90" s="8">
        <v>781.62</v>
      </c>
      <c r="M90" s="8">
        <v>733.32</v>
      </c>
      <c r="N90" s="8">
        <v>695.52</v>
      </c>
      <c r="O90" s="8">
        <v>669.9</v>
      </c>
      <c r="P90" s="8">
        <v>654.78</v>
      </c>
      <c r="Q90" s="8">
        <v>644.28</v>
      </c>
      <c r="R90" s="8">
        <v>642.6</v>
      </c>
      <c r="S90" s="8">
        <v>664.02</v>
      </c>
      <c r="T90" s="8">
        <v>693.84</v>
      </c>
      <c r="U90" s="8">
        <v>754.32</v>
      </c>
      <c r="V90" s="8">
        <v>753.48</v>
      </c>
      <c r="W90" s="8">
        <v>742.98</v>
      </c>
      <c r="X90" s="8">
        <v>688.8</v>
      </c>
      <c r="Y90" s="8">
        <v>619.91999999999996</v>
      </c>
      <c r="Z90" s="8">
        <v>595.98</v>
      </c>
    </row>
    <row r="91" spans="1:26" x14ac:dyDescent="0.25">
      <c r="A91" s="4">
        <v>41358</v>
      </c>
      <c r="B91" s="5">
        <f>SUM('2013 - 8760 Load'!_Day450)</f>
        <v>15878.099999999999</v>
      </c>
      <c r="C91" s="8">
        <v>577.91999999999996</v>
      </c>
      <c r="D91" s="8">
        <v>573.29999999999995</v>
      </c>
      <c r="E91" s="8">
        <v>568.26</v>
      </c>
      <c r="F91" s="8">
        <v>569.52</v>
      </c>
      <c r="G91" s="8">
        <v>599.34</v>
      </c>
      <c r="H91" s="8">
        <v>636.72</v>
      </c>
      <c r="I91" s="8">
        <v>665.28</v>
      </c>
      <c r="J91" s="8">
        <v>683.34</v>
      </c>
      <c r="K91" s="8">
        <v>669.06</v>
      </c>
      <c r="L91" s="8">
        <v>670.32</v>
      </c>
      <c r="M91" s="8">
        <v>676.2</v>
      </c>
      <c r="N91" s="8">
        <v>701.4</v>
      </c>
      <c r="O91" s="8">
        <v>651</v>
      </c>
      <c r="P91" s="8">
        <v>646.38</v>
      </c>
      <c r="Q91" s="8">
        <v>647.22</v>
      </c>
      <c r="R91" s="8">
        <v>672.42</v>
      </c>
      <c r="S91" s="8">
        <v>725.34</v>
      </c>
      <c r="T91" s="8">
        <v>742.14</v>
      </c>
      <c r="U91" s="8">
        <v>759.78</v>
      </c>
      <c r="V91" s="8">
        <v>764.82</v>
      </c>
      <c r="W91" s="8">
        <v>753.9</v>
      </c>
      <c r="X91" s="8">
        <v>694.26</v>
      </c>
      <c r="Y91" s="8">
        <v>629.16</v>
      </c>
      <c r="Z91" s="8">
        <v>601.02</v>
      </c>
    </row>
    <row r="92" spans="1:26" x14ac:dyDescent="0.25">
      <c r="A92" s="4">
        <v>41359</v>
      </c>
      <c r="B92" s="5">
        <f>SUM('2013 - 8760 Load'!_Day451)</f>
        <v>15502.199999999997</v>
      </c>
      <c r="C92" s="8">
        <v>569.52</v>
      </c>
      <c r="D92" s="8">
        <v>564.05999999999995</v>
      </c>
      <c r="E92" s="8">
        <v>566.16</v>
      </c>
      <c r="F92" s="8">
        <v>576.24</v>
      </c>
      <c r="G92" s="8">
        <v>607.32000000000005</v>
      </c>
      <c r="H92" s="8">
        <v>641.76</v>
      </c>
      <c r="I92" s="8">
        <v>671.16</v>
      </c>
      <c r="J92" s="8">
        <v>677.04</v>
      </c>
      <c r="K92" s="8">
        <v>660.66</v>
      </c>
      <c r="L92" s="8">
        <v>656.04</v>
      </c>
      <c r="M92" s="8">
        <v>623.70000000000005</v>
      </c>
      <c r="N92" s="8">
        <v>630</v>
      </c>
      <c r="O92" s="8">
        <v>613.20000000000005</v>
      </c>
      <c r="P92" s="8">
        <v>610.67999999999995</v>
      </c>
      <c r="Q92" s="8">
        <v>630</v>
      </c>
      <c r="R92" s="8">
        <v>620.76</v>
      </c>
      <c r="S92" s="8">
        <v>668.22</v>
      </c>
      <c r="T92" s="8">
        <v>706.86</v>
      </c>
      <c r="U92" s="8">
        <v>740.04</v>
      </c>
      <c r="V92" s="8">
        <v>753.48</v>
      </c>
      <c r="W92" s="8">
        <v>753.9</v>
      </c>
      <c r="X92" s="8">
        <v>687.54</v>
      </c>
      <c r="Y92" s="8">
        <v>649.74</v>
      </c>
      <c r="Z92" s="8">
        <v>624.12</v>
      </c>
    </row>
    <row r="93" spans="1:26" x14ac:dyDescent="0.25">
      <c r="A93" s="4">
        <v>41360</v>
      </c>
      <c r="B93" s="5">
        <f>SUM('2013 - 8760 Load'!_Day452)</f>
        <v>15246.000000000002</v>
      </c>
      <c r="C93" s="8">
        <v>592.62</v>
      </c>
      <c r="D93" s="8">
        <v>582.54</v>
      </c>
      <c r="E93" s="8">
        <v>583.38</v>
      </c>
      <c r="F93" s="8">
        <v>580.02</v>
      </c>
      <c r="G93" s="8">
        <v>629.58000000000004</v>
      </c>
      <c r="H93" s="8">
        <v>671.16</v>
      </c>
      <c r="I93" s="8">
        <v>703.5</v>
      </c>
      <c r="J93" s="8">
        <v>692.16</v>
      </c>
      <c r="K93" s="8">
        <v>657.72</v>
      </c>
      <c r="L93" s="8">
        <v>642.6</v>
      </c>
      <c r="M93" s="8">
        <v>614.04</v>
      </c>
      <c r="N93" s="8">
        <v>595.55999999999995</v>
      </c>
      <c r="O93" s="8">
        <v>573.72</v>
      </c>
      <c r="P93" s="8">
        <v>550.62</v>
      </c>
      <c r="Q93" s="8">
        <v>575.82000000000005</v>
      </c>
      <c r="R93" s="8">
        <v>595.98</v>
      </c>
      <c r="S93" s="8">
        <v>631.26</v>
      </c>
      <c r="T93" s="8">
        <v>652.67999999999995</v>
      </c>
      <c r="U93" s="8">
        <v>718.62</v>
      </c>
      <c r="V93" s="8">
        <v>758.52</v>
      </c>
      <c r="W93" s="8">
        <v>713.58</v>
      </c>
      <c r="X93" s="8">
        <v>704.76</v>
      </c>
      <c r="Y93" s="8">
        <v>635.46</v>
      </c>
      <c r="Z93" s="8">
        <v>590.1</v>
      </c>
    </row>
    <row r="94" spans="1:26" x14ac:dyDescent="0.25">
      <c r="A94" s="4">
        <v>41361</v>
      </c>
      <c r="B94" s="5">
        <f>SUM('2013 - 8760 Load'!_Day453)</f>
        <v>15347.220000000001</v>
      </c>
      <c r="C94" s="8">
        <v>568.67999999999995</v>
      </c>
      <c r="D94" s="8">
        <v>566.58000000000004</v>
      </c>
      <c r="E94" s="8">
        <v>568.26</v>
      </c>
      <c r="F94" s="8">
        <v>579.6</v>
      </c>
      <c r="G94" s="8">
        <v>600.17999999999995</v>
      </c>
      <c r="H94" s="8">
        <v>632.52</v>
      </c>
      <c r="I94" s="8">
        <v>686.7</v>
      </c>
      <c r="J94" s="8">
        <v>651</v>
      </c>
      <c r="K94" s="8">
        <v>628.32000000000005</v>
      </c>
      <c r="L94" s="8">
        <v>648.05999999999995</v>
      </c>
      <c r="M94" s="8">
        <v>630</v>
      </c>
      <c r="N94" s="8">
        <v>637.98</v>
      </c>
      <c r="O94" s="8">
        <v>626.64</v>
      </c>
      <c r="P94" s="8">
        <v>595.98</v>
      </c>
      <c r="Q94" s="8">
        <v>637.98</v>
      </c>
      <c r="R94" s="8">
        <v>602.70000000000005</v>
      </c>
      <c r="S94" s="8">
        <v>669.48</v>
      </c>
      <c r="T94" s="8">
        <v>680.82</v>
      </c>
      <c r="U94" s="8">
        <v>726.6</v>
      </c>
      <c r="V94" s="8">
        <v>756</v>
      </c>
      <c r="W94" s="8">
        <v>745.5</v>
      </c>
      <c r="X94" s="8">
        <v>684.6</v>
      </c>
      <c r="Y94" s="8">
        <v>634.20000000000005</v>
      </c>
      <c r="Z94" s="8">
        <v>588.84</v>
      </c>
    </row>
    <row r="95" spans="1:26" x14ac:dyDescent="0.25">
      <c r="A95" s="4">
        <v>41362</v>
      </c>
      <c r="B95" s="5">
        <f>SUM('2013 - 8760 Load'!_Day454)</f>
        <v>15608.879999999997</v>
      </c>
      <c r="C95" s="8">
        <v>568.26</v>
      </c>
      <c r="D95" s="8">
        <v>556.5</v>
      </c>
      <c r="E95" s="8">
        <v>559.86</v>
      </c>
      <c r="F95" s="8">
        <v>572.04</v>
      </c>
      <c r="G95" s="8">
        <v>598.5</v>
      </c>
      <c r="H95" s="8">
        <v>637.14</v>
      </c>
      <c r="I95" s="8">
        <v>669.9</v>
      </c>
      <c r="J95" s="8">
        <v>701.82</v>
      </c>
      <c r="K95" s="8">
        <v>658.14</v>
      </c>
      <c r="L95" s="8">
        <v>639.66</v>
      </c>
      <c r="M95" s="8">
        <v>638.82000000000005</v>
      </c>
      <c r="N95" s="8">
        <v>620.34</v>
      </c>
      <c r="O95" s="8">
        <v>611.1</v>
      </c>
      <c r="P95" s="8">
        <v>614.88</v>
      </c>
      <c r="Q95" s="8">
        <v>583.79999999999995</v>
      </c>
      <c r="R95" s="8">
        <v>627.05999999999995</v>
      </c>
      <c r="S95" s="8">
        <v>668.22</v>
      </c>
      <c r="T95" s="8">
        <v>750.96</v>
      </c>
      <c r="U95" s="8">
        <v>754.32</v>
      </c>
      <c r="V95" s="8">
        <v>791.7</v>
      </c>
      <c r="W95" s="8">
        <v>766.08</v>
      </c>
      <c r="X95" s="8">
        <v>706.86</v>
      </c>
      <c r="Y95" s="8">
        <v>669.9</v>
      </c>
      <c r="Z95" s="8">
        <v>643.02</v>
      </c>
    </row>
    <row r="96" spans="1:26" x14ac:dyDescent="0.25">
      <c r="A96" s="4">
        <v>41363</v>
      </c>
      <c r="B96" s="5">
        <f>SUM('2013 - 8760 Load'!_Day455)</f>
        <v>15450.120000000003</v>
      </c>
      <c r="C96" s="8">
        <v>630.41999999999996</v>
      </c>
      <c r="D96" s="8">
        <v>616.55999999999995</v>
      </c>
      <c r="E96" s="8">
        <v>604.79999999999995</v>
      </c>
      <c r="F96" s="8">
        <v>592.62</v>
      </c>
      <c r="G96" s="8">
        <v>609.41999999999996</v>
      </c>
      <c r="H96" s="8">
        <v>657.3</v>
      </c>
      <c r="I96" s="8">
        <v>692.58</v>
      </c>
      <c r="J96" s="8">
        <v>703.5</v>
      </c>
      <c r="K96" s="8">
        <v>712.74</v>
      </c>
      <c r="L96" s="8">
        <v>705.6</v>
      </c>
      <c r="M96" s="8">
        <v>665.7</v>
      </c>
      <c r="N96" s="8">
        <v>622.44000000000005</v>
      </c>
      <c r="O96" s="8">
        <v>627.05999999999995</v>
      </c>
      <c r="P96" s="8">
        <v>595.98</v>
      </c>
      <c r="Q96" s="8">
        <v>598.91999999999996</v>
      </c>
      <c r="R96" s="8">
        <v>620.34</v>
      </c>
      <c r="S96" s="8">
        <v>609</v>
      </c>
      <c r="T96" s="8">
        <v>607.74</v>
      </c>
      <c r="U96" s="8">
        <v>662.34</v>
      </c>
      <c r="V96" s="8">
        <v>718.2</v>
      </c>
      <c r="W96" s="8">
        <v>716.52</v>
      </c>
      <c r="X96" s="8">
        <v>663.6</v>
      </c>
      <c r="Y96" s="8">
        <v>623.28</v>
      </c>
      <c r="Z96" s="8">
        <v>593.46</v>
      </c>
    </row>
    <row r="97" spans="1:26" x14ac:dyDescent="0.25">
      <c r="A97" s="4">
        <v>41364</v>
      </c>
      <c r="B97" s="5">
        <f>SUM('2013 - 8760 Load'!_Day456)</f>
        <v>15100.679999999998</v>
      </c>
      <c r="C97" s="8">
        <v>565.32000000000005</v>
      </c>
      <c r="D97" s="8">
        <v>554.82000000000005</v>
      </c>
      <c r="E97" s="8">
        <v>551.46</v>
      </c>
      <c r="F97" s="8">
        <v>567.41999999999996</v>
      </c>
      <c r="G97" s="8">
        <v>561.96</v>
      </c>
      <c r="H97" s="8">
        <v>589.67999999999995</v>
      </c>
      <c r="I97" s="8">
        <v>635.46</v>
      </c>
      <c r="J97" s="8">
        <v>677.88</v>
      </c>
      <c r="K97" s="8">
        <v>699.3</v>
      </c>
      <c r="L97" s="8">
        <v>706.86</v>
      </c>
      <c r="M97" s="8">
        <v>679.14</v>
      </c>
      <c r="N97" s="8">
        <v>650.16</v>
      </c>
      <c r="O97" s="8">
        <v>608.16</v>
      </c>
      <c r="P97" s="8">
        <v>606.9</v>
      </c>
      <c r="Q97" s="8">
        <v>615.29999999999995</v>
      </c>
      <c r="R97" s="8">
        <v>637.14</v>
      </c>
      <c r="S97" s="8">
        <v>653.1</v>
      </c>
      <c r="T97" s="8">
        <v>656.88</v>
      </c>
      <c r="U97" s="8">
        <v>721.14</v>
      </c>
      <c r="V97" s="8">
        <v>739.2</v>
      </c>
      <c r="W97" s="8">
        <v>693.42</v>
      </c>
      <c r="X97" s="8">
        <v>618.66</v>
      </c>
      <c r="Y97" s="8">
        <v>572.88</v>
      </c>
      <c r="Z97" s="8">
        <v>538.44000000000005</v>
      </c>
    </row>
    <row r="98" spans="1:26" x14ac:dyDescent="0.25">
      <c r="A98" s="4">
        <v>41365</v>
      </c>
      <c r="B98" s="5">
        <f>SUM('2013 - 8760 Load'!_Day457)</f>
        <v>12401.34</v>
      </c>
      <c r="C98" s="8">
        <v>505.68</v>
      </c>
      <c r="D98" s="8">
        <v>501.48</v>
      </c>
      <c r="E98" s="8">
        <v>501.48</v>
      </c>
      <c r="F98" s="8">
        <v>500.64</v>
      </c>
      <c r="G98" s="8">
        <v>544.32000000000005</v>
      </c>
      <c r="H98" s="8">
        <v>590.1</v>
      </c>
      <c r="I98" s="8">
        <v>435.12</v>
      </c>
      <c r="J98" s="8">
        <v>434.28</v>
      </c>
      <c r="K98" s="8">
        <v>439.74</v>
      </c>
      <c r="L98" s="8">
        <v>595.55999999999995</v>
      </c>
      <c r="M98" s="8">
        <v>571.20000000000005</v>
      </c>
      <c r="N98" s="8">
        <v>441</v>
      </c>
      <c r="O98" s="8">
        <v>339.36</v>
      </c>
      <c r="P98" s="8">
        <v>345.66</v>
      </c>
      <c r="Q98" s="8">
        <v>354.9</v>
      </c>
      <c r="R98" s="8">
        <v>475.44</v>
      </c>
      <c r="S98" s="8">
        <v>490.14</v>
      </c>
      <c r="T98" s="8">
        <v>506.52</v>
      </c>
      <c r="U98" s="8">
        <v>529.62</v>
      </c>
      <c r="V98" s="8">
        <v>664.86</v>
      </c>
      <c r="W98" s="8">
        <v>743.4</v>
      </c>
      <c r="X98" s="8">
        <v>683.34</v>
      </c>
      <c r="Y98" s="8">
        <v>622.02</v>
      </c>
      <c r="Z98" s="8">
        <v>585.48</v>
      </c>
    </row>
    <row r="99" spans="1:26" x14ac:dyDescent="0.25">
      <c r="A99" s="4">
        <v>41366</v>
      </c>
      <c r="B99" s="5">
        <f>SUM('2013 - 8760 Load'!_Day458)</f>
        <v>15816.359999999999</v>
      </c>
      <c r="C99" s="8">
        <v>576.24</v>
      </c>
      <c r="D99" s="8">
        <v>568.26</v>
      </c>
      <c r="E99" s="8">
        <v>568.67999999999995</v>
      </c>
      <c r="F99" s="8">
        <v>576.24</v>
      </c>
      <c r="G99" s="8">
        <v>615.29999999999995</v>
      </c>
      <c r="H99" s="8">
        <v>684.6</v>
      </c>
      <c r="I99" s="8">
        <v>685.86</v>
      </c>
      <c r="J99" s="8">
        <v>693</v>
      </c>
      <c r="K99" s="8">
        <v>673.68</v>
      </c>
      <c r="L99" s="8">
        <v>665.28</v>
      </c>
      <c r="M99" s="8">
        <v>642.6</v>
      </c>
      <c r="N99" s="8">
        <v>630.41999999999996</v>
      </c>
      <c r="O99" s="8">
        <v>620.76</v>
      </c>
      <c r="P99" s="8">
        <v>610.67999999999995</v>
      </c>
      <c r="Q99" s="8">
        <v>622.02</v>
      </c>
      <c r="R99" s="8">
        <v>658.98</v>
      </c>
      <c r="S99" s="8">
        <v>690.9</v>
      </c>
      <c r="T99" s="8">
        <v>700.56</v>
      </c>
      <c r="U99" s="8">
        <v>764.82</v>
      </c>
      <c r="V99" s="8">
        <v>774.06</v>
      </c>
      <c r="W99" s="8">
        <v>799.68</v>
      </c>
      <c r="X99" s="8">
        <v>724.92</v>
      </c>
      <c r="Y99" s="8">
        <v>662.76</v>
      </c>
      <c r="Z99" s="8">
        <v>606.05999999999995</v>
      </c>
    </row>
    <row r="100" spans="1:26" x14ac:dyDescent="0.25">
      <c r="A100" s="4">
        <v>41367</v>
      </c>
      <c r="B100" s="5">
        <f>SUM('2013 - 8760 Load'!_Day459)</f>
        <v>15304.800000000001</v>
      </c>
      <c r="C100" s="8">
        <v>593.04</v>
      </c>
      <c r="D100" s="8">
        <v>587.16</v>
      </c>
      <c r="E100" s="8">
        <v>580.86</v>
      </c>
      <c r="F100" s="8">
        <v>598.5</v>
      </c>
      <c r="G100" s="8">
        <v>635.04</v>
      </c>
      <c r="H100" s="8">
        <v>716.94</v>
      </c>
      <c r="I100" s="8">
        <v>704.34</v>
      </c>
      <c r="J100" s="8">
        <v>686.28</v>
      </c>
      <c r="K100" s="8">
        <v>645.96</v>
      </c>
      <c r="L100" s="8">
        <v>621.6</v>
      </c>
      <c r="M100" s="8">
        <v>610.26</v>
      </c>
      <c r="N100" s="8">
        <v>591.78</v>
      </c>
      <c r="O100" s="8">
        <v>567</v>
      </c>
      <c r="P100" s="8">
        <v>560.70000000000005</v>
      </c>
      <c r="Q100" s="8">
        <v>554.4</v>
      </c>
      <c r="R100" s="8">
        <v>577.91999999999996</v>
      </c>
      <c r="S100" s="8">
        <v>616.14</v>
      </c>
      <c r="T100" s="8">
        <v>659.82</v>
      </c>
      <c r="U100" s="8">
        <v>749.28</v>
      </c>
      <c r="V100" s="8">
        <v>766.92</v>
      </c>
      <c r="W100" s="8">
        <v>731.64</v>
      </c>
      <c r="X100" s="8">
        <v>692.16</v>
      </c>
      <c r="Y100" s="8">
        <v>645.12</v>
      </c>
      <c r="Z100" s="8">
        <v>611.94000000000005</v>
      </c>
    </row>
    <row r="101" spans="1:26" x14ac:dyDescent="0.25">
      <c r="A101" s="4">
        <v>41368</v>
      </c>
      <c r="B101" s="5">
        <f>SUM('2013 - 8760 Load'!_Day460)</f>
        <v>14574.42</v>
      </c>
      <c r="C101" s="8">
        <v>597.66</v>
      </c>
      <c r="D101" s="8">
        <v>574.98</v>
      </c>
      <c r="E101" s="8">
        <v>580.44000000000005</v>
      </c>
      <c r="F101" s="8">
        <v>589.26</v>
      </c>
      <c r="G101" s="8">
        <v>639.24</v>
      </c>
      <c r="H101" s="8">
        <v>700.56</v>
      </c>
      <c r="I101" s="8">
        <v>701.82</v>
      </c>
      <c r="J101" s="8">
        <v>656.88</v>
      </c>
      <c r="K101" s="8">
        <v>628.74</v>
      </c>
      <c r="L101" s="8">
        <v>638.82000000000005</v>
      </c>
      <c r="M101" s="8">
        <v>583.79999999999995</v>
      </c>
      <c r="N101" s="8">
        <v>578.76</v>
      </c>
      <c r="O101" s="8">
        <v>567</v>
      </c>
      <c r="P101" s="8">
        <v>529.62</v>
      </c>
      <c r="Q101" s="8">
        <v>493.92</v>
      </c>
      <c r="R101" s="8">
        <v>512.4</v>
      </c>
      <c r="S101" s="8">
        <v>583.79999999999995</v>
      </c>
      <c r="T101" s="8">
        <v>630.84</v>
      </c>
      <c r="U101" s="8">
        <v>664.86</v>
      </c>
      <c r="V101" s="8">
        <v>699.3</v>
      </c>
      <c r="W101" s="8">
        <v>674.1</v>
      </c>
      <c r="X101" s="8">
        <v>632.52</v>
      </c>
      <c r="Y101" s="8">
        <v>580.86</v>
      </c>
      <c r="Z101" s="8">
        <v>534.24</v>
      </c>
    </row>
    <row r="102" spans="1:26" x14ac:dyDescent="0.25">
      <c r="A102" s="4">
        <v>41369</v>
      </c>
      <c r="B102" s="5">
        <f>SUM('2013 - 8760 Load'!_Day461)</f>
        <v>13951.98</v>
      </c>
      <c r="C102" s="8">
        <v>511.98</v>
      </c>
      <c r="D102" s="8">
        <v>511.56</v>
      </c>
      <c r="E102" s="8">
        <v>506.1</v>
      </c>
      <c r="F102" s="8">
        <v>532.98</v>
      </c>
      <c r="G102" s="8">
        <v>569.94000000000005</v>
      </c>
      <c r="H102" s="8">
        <v>653.52</v>
      </c>
      <c r="I102" s="8">
        <v>632.1</v>
      </c>
      <c r="J102" s="8">
        <v>613.62</v>
      </c>
      <c r="K102" s="8">
        <v>581.70000000000005</v>
      </c>
      <c r="L102" s="8">
        <v>553.98</v>
      </c>
      <c r="M102" s="8">
        <v>545.16</v>
      </c>
      <c r="N102" s="8">
        <v>548.94000000000005</v>
      </c>
      <c r="O102" s="8">
        <v>509.04</v>
      </c>
      <c r="P102" s="8">
        <v>497.28</v>
      </c>
      <c r="Q102" s="8">
        <v>485.52</v>
      </c>
      <c r="R102" s="8">
        <v>480.9</v>
      </c>
      <c r="S102" s="8">
        <v>527.52</v>
      </c>
      <c r="T102" s="8">
        <v>637.98</v>
      </c>
      <c r="U102" s="8">
        <v>713.16</v>
      </c>
      <c r="V102" s="8">
        <v>704.76</v>
      </c>
      <c r="W102" s="8">
        <v>737.52</v>
      </c>
      <c r="X102" s="8">
        <v>674.94</v>
      </c>
      <c r="Y102" s="8">
        <v>624.96</v>
      </c>
      <c r="Z102" s="8">
        <v>596.82000000000005</v>
      </c>
    </row>
    <row r="103" spans="1:26" x14ac:dyDescent="0.25">
      <c r="A103" s="4">
        <v>41370</v>
      </c>
      <c r="B103" s="5">
        <f>SUM('2013 - 8760 Load'!_Day462)</f>
        <v>15078.84</v>
      </c>
      <c r="C103" s="8">
        <v>574.98</v>
      </c>
      <c r="D103" s="8">
        <v>547.67999999999995</v>
      </c>
      <c r="E103" s="8">
        <v>561.96</v>
      </c>
      <c r="F103" s="8">
        <v>569.1</v>
      </c>
      <c r="G103" s="8">
        <v>574.14</v>
      </c>
      <c r="H103" s="8">
        <v>623.70000000000005</v>
      </c>
      <c r="I103" s="8">
        <v>671.16</v>
      </c>
      <c r="J103" s="8">
        <v>688.38</v>
      </c>
      <c r="K103" s="8">
        <v>706.02</v>
      </c>
      <c r="L103" s="8">
        <v>684.6</v>
      </c>
      <c r="M103" s="8">
        <v>678.72</v>
      </c>
      <c r="N103" s="8">
        <v>629.16</v>
      </c>
      <c r="O103" s="8">
        <v>614.46</v>
      </c>
      <c r="P103" s="8">
        <v>605.64</v>
      </c>
      <c r="Q103" s="8">
        <v>579.6</v>
      </c>
      <c r="R103" s="8">
        <v>561.12</v>
      </c>
      <c r="S103" s="8">
        <v>601.02</v>
      </c>
      <c r="T103" s="8">
        <v>638.4</v>
      </c>
      <c r="U103" s="8">
        <v>679.14</v>
      </c>
      <c r="V103" s="8">
        <v>730.8</v>
      </c>
      <c r="W103" s="8">
        <v>706.86</v>
      </c>
      <c r="X103" s="8">
        <v>658.98</v>
      </c>
      <c r="Y103" s="8">
        <v>614.04</v>
      </c>
      <c r="Z103" s="8">
        <v>579.17999999999995</v>
      </c>
    </row>
    <row r="104" spans="1:26" x14ac:dyDescent="0.25">
      <c r="A104" s="4">
        <v>41371</v>
      </c>
      <c r="B104" s="5">
        <f>SUM('2013 - 8760 Load'!_Day463)</f>
        <v>14616.839999999997</v>
      </c>
      <c r="C104" s="8">
        <v>562.38</v>
      </c>
      <c r="D104" s="8">
        <v>537.17999999999995</v>
      </c>
      <c r="E104" s="8">
        <v>531.72</v>
      </c>
      <c r="F104" s="8">
        <v>541.38</v>
      </c>
      <c r="G104" s="8">
        <v>532.98</v>
      </c>
      <c r="H104" s="8">
        <v>564.05999999999995</v>
      </c>
      <c r="I104" s="8">
        <v>596.82000000000005</v>
      </c>
      <c r="J104" s="8">
        <v>654.36</v>
      </c>
      <c r="K104" s="8">
        <v>700.98</v>
      </c>
      <c r="L104" s="8">
        <v>742.98</v>
      </c>
      <c r="M104" s="8">
        <v>707.7</v>
      </c>
      <c r="N104" s="8">
        <v>664.02</v>
      </c>
      <c r="O104" s="8">
        <v>643.44000000000005</v>
      </c>
      <c r="P104" s="8">
        <v>617.4</v>
      </c>
      <c r="Q104" s="8">
        <v>586.74</v>
      </c>
      <c r="R104" s="8">
        <v>619.91999999999996</v>
      </c>
      <c r="S104" s="8">
        <v>638.82000000000005</v>
      </c>
      <c r="T104" s="8">
        <v>627.9</v>
      </c>
      <c r="U104" s="8">
        <v>657.3</v>
      </c>
      <c r="V104" s="8">
        <v>677.88</v>
      </c>
      <c r="W104" s="8">
        <v>651.84</v>
      </c>
      <c r="X104" s="8">
        <v>582.54</v>
      </c>
      <c r="Y104" s="8">
        <v>500.22</v>
      </c>
      <c r="Z104" s="8">
        <v>476.28</v>
      </c>
    </row>
    <row r="105" spans="1:26" x14ac:dyDescent="0.25">
      <c r="A105" s="4">
        <v>41372</v>
      </c>
      <c r="B105" s="5">
        <f>SUM('2013 - 8760 Load'!_Day464)</f>
        <v>11676.419999999998</v>
      </c>
      <c r="C105" s="8">
        <v>458.22</v>
      </c>
      <c r="D105" s="8">
        <v>444.36</v>
      </c>
      <c r="E105" s="8">
        <v>450.24</v>
      </c>
      <c r="F105" s="8">
        <v>453.6</v>
      </c>
      <c r="G105" s="8">
        <v>485.94</v>
      </c>
      <c r="H105" s="8">
        <v>560.70000000000005</v>
      </c>
      <c r="I105" s="8">
        <v>530.46</v>
      </c>
      <c r="J105" s="8">
        <v>529.62</v>
      </c>
      <c r="K105" s="8">
        <v>508.2</v>
      </c>
      <c r="L105" s="8">
        <v>492.24</v>
      </c>
      <c r="M105" s="8">
        <v>471.24</v>
      </c>
      <c r="N105" s="8">
        <v>464.94</v>
      </c>
      <c r="O105" s="8">
        <v>441.84</v>
      </c>
      <c r="P105" s="8">
        <v>435.54</v>
      </c>
      <c r="Q105" s="8">
        <v>430.92</v>
      </c>
      <c r="R105" s="8">
        <v>426.3</v>
      </c>
      <c r="S105" s="8">
        <v>480.9</v>
      </c>
      <c r="T105" s="8">
        <v>521.64</v>
      </c>
      <c r="U105" s="8">
        <v>555.24</v>
      </c>
      <c r="V105" s="8">
        <v>584.64</v>
      </c>
      <c r="W105" s="8">
        <v>565.32000000000005</v>
      </c>
      <c r="X105" s="8">
        <v>506.1</v>
      </c>
      <c r="Y105" s="8">
        <v>470.4</v>
      </c>
      <c r="Z105" s="8">
        <v>407.82</v>
      </c>
    </row>
    <row r="106" spans="1:26" x14ac:dyDescent="0.25">
      <c r="A106" s="4">
        <v>41373</v>
      </c>
      <c r="B106" s="5">
        <f>SUM('2013 - 8760 Load'!_Day465)</f>
        <v>10501.68</v>
      </c>
      <c r="C106" s="8">
        <v>391.86</v>
      </c>
      <c r="D106" s="8">
        <v>383.46</v>
      </c>
      <c r="E106" s="8">
        <v>368.76</v>
      </c>
      <c r="F106" s="8">
        <v>370.44</v>
      </c>
      <c r="G106" s="8">
        <v>418.74</v>
      </c>
      <c r="H106" s="8">
        <v>484.26</v>
      </c>
      <c r="I106" s="8">
        <v>463.26</v>
      </c>
      <c r="J106" s="8">
        <v>435.54</v>
      </c>
      <c r="K106" s="8">
        <v>425.46</v>
      </c>
      <c r="L106" s="8">
        <v>419.58</v>
      </c>
      <c r="M106" s="8">
        <v>426.72</v>
      </c>
      <c r="N106" s="8">
        <v>436.8</v>
      </c>
      <c r="O106" s="8">
        <v>417.06</v>
      </c>
      <c r="P106" s="8">
        <v>399.84</v>
      </c>
      <c r="Q106" s="8">
        <v>405.72</v>
      </c>
      <c r="R106" s="8">
        <v>419.58</v>
      </c>
      <c r="S106" s="8">
        <v>457.8</v>
      </c>
      <c r="T106" s="8">
        <v>467.88</v>
      </c>
      <c r="U106" s="8">
        <v>519.96</v>
      </c>
      <c r="V106" s="8">
        <v>551.04</v>
      </c>
      <c r="W106" s="8">
        <v>510.3</v>
      </c>
      <c r="X106" s="8">
        <v>488.46</v>
      </c>
      <c r="Y106" s="8">
        <v>441.42</v>
      </c>
      <c r="Z106" s="8">
        <v>397.74</v>
      </c>
    </row>
    <row r="107" spans="1:26" x14ac:dyDescent="0.25">
      <c r="A107" s="4">
        <v>41374</v>
      </c>
      <c r="B107" s="5">
        <f>SUM('2013 - 8760 Load'!_Day466)</f>
        <v>11163.6</v>
      </c>
      <c r="C107" s="8">
        <v>379.68</v>
      </c>
      <c r="D107" s="8">
        <v>370.86</v>
      </c>
      <c r="E107" s="8">
        <v>362.88</v>
      </c>
      <c r="F107" s="8">
        <v>365.82</v>
      </c>
      <c r="G107" s="8">
        <v>403.2</v>
      </c>
      <c r="H107" s="8">
        <v>467.04</v>
      </c>
      <c r="I107" s="8">
        <v>477.54</v>
      </c>
      <c r="J107" s="8">
        <v>445.2</v>
      </c>
      <c r="K107" s="8">
        <v>450.66</v>
      </c>
      <c r="L107" s="8">
        <v>454.86</v>
      </c>
      <c r="M107" s="8">
        <v>449.82</v>
      </c>
      <c r="N107" s="8">
        <v>446.46</v>
      </c>
      <c r="O107" s="8">
        <v>459.48</v>
      </c>
      <c r="P107" s="8">
        <v>464.1</v>
      </c>
      <c r="Q107" s="8">
        <v>452.34</v>
      </c>
      <c r="R107" s="8">
        <v>461.16</v>
      </c>
      <c r="S107" s="8">
        <v>528.36</v>
      </c>
      <c r="T107" s="8">
        <v>577.5</v>
      </c>
      <c r="U107" s="8">
        <v>572.46</v>
      </c>
      <c r="V107" s="8">
        <v>585.9</v>
      </c>
      <c r="W107" s="8">
        <v>546.41999999999996</v>
      </c>
      <c r="X107" s="8">
        <v>536.76</v>
      </c>
      <c r="Y107" s="8">
        <v>473.76</v>
      </c>
      <c r="Z107" s="8">
        <v>431.34</v>
      </c>
    </row>
    <row r="108" spans="1:26" x14ac:dyDescent="0.25">
      <c r="A108" s="4">
        <v>41375</v>
      </c>
      <c r="B108" s="5">
        <f>SUM('2013 - 8760 Load'!_Day467)</f>
        <v>12341.7</v>
      </c>
      <c r="C108" s="8">
        <v>401.52</v>
      </c>
      <c r="D108" s="8">
        <v>399.84</v>
      </c>
      <c r="E108" s="8">
        <v>392.28</v>
      </c>
      <c r="F108" s="8">
        <v>403.62</v>
      </c>
      <c r="G108" s="8">
        <v>427.56</v>
      </c>
      <c r="H108" s="8">
        <v>500.22</v>
      </c>
      <c r="I108" s="8">
        <v>506.1</v>
      </c>
      <c r="J108" s="8">
        <v>506.94</v>
      </c>
      <c r="K108" s="8">
        <v>535.91999999999996</v>
      </c>
      <c r="L108" s="8">
        <v>531.29999999999995</v>
      </c>
      <c r="M108" s="8">
        <v>503.16</v>
      </c>
      <c r="N108" s="8">
        <v>503.16</v>
      </c>
      <c r="O108" s="8">
        <v>502.32</v>
      </c>
      <c r="P108" s="8">
        <v>485.1</v>
      </c>
      <c r="Q108" s="8">
        <v>485.52</v>
      </c>
      <c r="R108" s="8">
        <v>523.32000000000005</v>
      </c>
      <c r="S108" s="8">
        <v>577.5</v>
      </c>
      <c r="T108" s="8">
        <v>635.88</v>
      </c>
      <c r="U108" s="8">
        <v>645.54</v>
      </c>
      <c r="V108" s="8">
        <v>641.76</v>
      </c>
      <c r="W108" s="8">
        <v>640.08000000000004</v>
      </c>
      <c r="X108" s="8">
        <v>582.12</v>
      </c>
      <c r="Y108" s="8">
        <v>518.28</v>
      </c>
      <c r="Z108" s="8">
        <v>492.66</v>
      </c>
    </row>
    <row r="109" spans="1:26" x14ac:dyDescent="0.25">
      <c r="A109" s="4">
        <v>41376</v>
      </c>
      <c r="B109" s="5">
        <f>SUM('2013 - 8760 Load'!_Day468)</f>
        <v>15111.6</v>
      </c>
      <c r="C109" s="8">
        <v>488.46</v>
      </c>
      <c r="D109" s="8">
        <v>476.28</v>
      </c>
      <c r="E109" s="8">
        <v>470.4</v>
      </c>
      <c r="F109" s="8">
        <v>480.48</v>
      </c>
      <c r="G109" s="8">
        <v>524.58000000000004</v>
      </c>
      <c r="H109" s="8">
        <v>600.6</v>
      </c>
      <c r="I109" s="8">
        <v>615.29999999999995</v>
      </c>
      <c r="J109" s="8">
        <v>616.55999999999995</v>
      </c>
      <c r="K109" s="8">
        <v>630.41999999999996</v>
      </c>
      <c r="L109" s="8">
        <v>646.79999999999995</v>
      </c>
      <c r="M109" s="8">
        <v>643.02</v>
      </c>
      <c r="N109" s="8">
        <v>651.41999999999996</v>
      </c>
      <c r="O109" s="8">
        <v>651.84</v>
      </c>
      <c r="P109" s="8">
        <v>644.28</v>
      </c>
      <c r="Q109" s="8">
        <v>635.04</v>
      </c>
      <c r="R109" s="8">
        <v>696.78</v>
      </c>
      <c r="S109" s="8">
        <v>709.38</v>
      </c>
      <c r="T109" s="8">
        <v>729.54</v>
      </c>
      <c r="U109" s="8">
        <v>773.64</v>
      </c>
      <c r="V109" s="8">
        <v>760.62</v>
      </c>
      <c r="W109" s="8">
        <v>724.5</v>
      </c>
      <c r="X109" s="8">
        <v>693.84</v>
      </c>
      <c r="Y109" s="8">
        <v>651.41999999999996</v>
      </c>
      <c r="Z109" s="8">
        <v>596.4</v>
      </c>
    </row>
    <row r="110" spans="1:26" x14ac:dyDescent="0.25">
      <c r="A110" s="4">
        <v>41377</v>
      </c>
      <c r="B110" s="5">
        <f>SUM('2013 - 8760 Load'!_Day469)</f>
        <v>14305.199999999999</v>
      </c>
      <c r="C110" s="8">
        <v>562.79999999999995</v>
      </c>
      <c r="D110" s="8">
        <v>528.78</v>
      </c>
      <c r="E110" s="8">
        <v>522.48</v>
      </c>
      <c r="F110" s="8">
        <v>526.67999999999995</v>
      </c>
      <c r="G110" s="8">
        <v>550.62</v>
      </c>
      <c r="H110" s="8">
        <v>580.44000000000005</v>
      </c>
      <c r="I110" s="8">
        <v>600.6</v>
      </c>
      <c r="J110" s="8">
        <v>648.05999999999995</v>
      </c>
      <c r="K110" s="8">
        <v>642.17999999999995</v>
      </c>
      <c r="L110" s="8">
        <v>638.4</v>
      </c>
      <c r="M110" s="8">
        <v>609</v>
      </c>
      <c r="N110" s="8">
        <v>620.34</v>
      </c>
      <c r="O110" s="8">
        <v>593.04</v>
      </c>
      <c r="P110" s="8">
        <v>571.62</v>
      </c>
      <c r="Q110" s="8">
        <v>565.32000000000005</v>
      </c>
      <c r="R110" s="8">
        <v>580.86</v>
      </c>
      <c r="S110" s="8">
        <v>598.91999999999996</v>
      </c>
      <c r="T110" s="8">
        <v>627.48</v>
      </c>
      <c r="U110" s="8">
        <v>660.66</v>
      </c>
      <c r="V110" s="8">
        <v>678.72</v>
      </c>
      <c r="W110" s="8">
        <v>653.52</v>
      </c>
      <c r="X110" s="8">
        <v>626.22</v>
      </c>
      <c r="Y110" s="8">
        <v>581.28</v>
      </c>
      <c r="Z110" s="8">
        <v>537.17999999999995</v>
      </c>
    </row>
    <row r="111" spans="1:26" x14ac:dyDescent="0.25">
      <c r="A111" s="4">
        <v>41378</v>
      </c>
      <c r="B111" s="5">
        <f>SUM('2013 - 8760 Load'!_Day470)</f>
        <v>14242.199999999999</v>
      </c>
      <c r="C111" s="8">
        <v>521.22</v>
      </c>
      <c r="D111" s="8">
        <v>508.2</v>
      </c>
      <c r="E111" s="8">
        <v>506.52</v>
      </c>
      <c r="F111" s="8">
        <v>512.4</v>
      </c>
      <c r="G111" s="8">
        <v>515.34</v>
      </c>
      <c r="H111" s="8">
        <v>525.41999999999996</v>
      </c>
      <c r="I111" s="8">
        <v>574.14</v>
      </c>
      <c r="J111" s="8">
        <v>631.67999999999995</v>
      </c>
      <c r="K111" s="8">
        <v>646.38</v>
      </c>
      <c r="L111" s="8">
        <v>670.32</v>
      </c>
      <c r="M111" s="8">
        <v>655.20000000000005</v>
      </c>
      <c r="N111" s="8">
        <v>668.64</v>
      </c>
      <c r="O111" s="8">
        <v>633.78</v>
      </c>
      <c r="P111" s="8">
        <v>612.36</v>
      </c>
      <c r="Q111" s="8">
        <v>569.94000000000005</v>
      </c>
      <c r="R111" s="8">
        <v>556.91999999999996</v>
      </c>
      <c r="S111" s="8">
        <v>596.4</v>
      </c>
      <c r="T111" s="8">
        <v>588.41999999999996</v>
      </c>
      <c r="U111" s="8">
        <v>651.41999999999996</v>
      </c>
      <c r="V111" s="8">
        <v>703.08</v>
      </c>
      <c r="W111" s="8">
        <v>674.94</v>
      </c>
      <c r="X111" s="8">
        <v>631.26</v>
      </c>
      <c r="Y111" s="8">
        <v>566.58000000000004</v>
      </c>
      <c r="Z111" s="8">
        <v>521.64</v>
      </c>
    </row>
    <row r="112" spans="1:26" x14ac:dyDescent="0.25">
      <c r="A112" s="4">
        <v>41379</v>
      </c>
      <c r="B112" s="5">
        <f>SUM('2013 - 8760 Load'!_Day471)</f>
        <v>12850.32</v>
      </c>
      <c r="C112" s="8">
        <v>509.88</v>
      </c>
      <c r="D112" s="8">
        <v>504</v>
      </c>
      <c r="E112" s="8">
        <v>490.56</v>
      </c>
      <c r="F112" s="8">
        <v>502.74</v>
      </c>
      <c r="G112" s="8">
        <v>556.5</v>
      </c>
      <c r="H112" s="8">
        <v>615.72</v>
      </c>
      <c r="I112" s="8">
        <v>572.46</v>
      </c>
      <c r="J112" s="8">
        <v>582.12</v>
      </c>
      <c r="K112" s="8">
        <v>564.9</v>
      </c>
      <c r="L112" s="8">
        <v>537.17999999999995</v>
      </c>
      <c r="M112" s="8">
        <v>525.41999999999996</v>
      </c>
      <c r="N112" s="8">
        <v>517.44000000000005</v>
      </c>
      <c r="O112" s="8">
        <v>490.14</v>
      </c>
      <c r="P112" s="8">
        <v>461.58</v>
      </c>
      <c r="Q112" s="8">
        <v>450.66</v>
      </c>
      <c r="R112" s="8">
        <v>477.54</v>
      </c>
      <c r="S112" s="8">
        <v>538.44000000000005</v>
      </c>
      <c r="T112" s="8">
        <v>559.44000000000005</v>
      </c>
      <c r="U112" s="8">
        <v>595.14</v>
      </c>
      <c r="V112" s="8">
        <v>635.04</v>
      </c>
      <c r="W112" s="8">
        <v>616.14</v>
      </c>
      <c r="X112" s="8">
        <v>555.24</v>
      </c>
      <c r="Y112" s="8">
        <v>510.72</v>
      </c>
      <c r="Z112" s="8">
        <v>481.32</v>
      </c>
    </row>
    <row r="113" spans="1:26" x14ac:dyDescent="0.25">
      <c r="A113" s="4">
        <v>41380</v>
      </c>
      <c r="B113" s="5">
        <f>SUM('2013 - 8760 Load'!_Day472)</f>
        <v>12383.7</v>
      </c>
      <c r="C113" s="8">
        <v>458.22</v>
      </c>
      <c r="D113" s="8">
        <v>438.48</v>
      </c>
      <c r="E113" s="8">
        <v>437.64</v>
      </c>
      <c r="F113" s="8">
        <v>441.42</v>
      </c>
      <c r="G113" s="8">
        <v>489.72</v>
      </c>
      <c r="H113" s="8">
        <v>535.91999999999996</v>
      </c>
      <c r="I113" s="8">
        <v>550.62</v>
      </c>
      <c r="J113" s="8">
        <v>511.14</v>
      </c>
      <c r="K113" s="8">
        <v>515.76</v>
      </c>
      <c r="L113" s="8">
        <v>509.88</v>
      </c>
      <c r="M113" s="8">
        <v>501.06</v>
      </c>
      <c r="N113" s="8">
        <v>525.84</v>
      </c>
      <c r="O113" s="8">
        <v>518.70000000000005</v>
      </c>
      <c r="P113" s="8">
        <v>495.6</v>
      </c>
      <c r="Q113" s="8">
        <v>506.94</v>
      </c>
      <c r="R113" s="8">
        <v>520.79999999999995</v>
      </c>
      <c r="S113" s="8">
        <v>555.24</v>
      </c>
      <c r="T113" s="8">
        <v>591.36</v>
      </c>
      <c r="U113" s="8">
        <v>626.64</v>
      </c>
      <c r="V113" s="8">
        <v>623.28</v>
      </c>
      <c r="W113" s="8">
        <v>582.12</v>
      </c>
      <c r="X113" s="8">
        <v>530.88</v>
      </c>
      <c r="Y113" s="8">
        <v>480.06</v>
      </c>
      <c r="Z113" s="8">
        <v>436.38</v>
      </c>
    </row>
    <row r="114" spans="1:26" x14ac:dyDescent="0.25">
      <c r="A114" s="4">
        <v>41381</v>
      </c>
      <c r="B114" s="5">
        <f>SUM('2013 - 8760 Load'!_Day473)</f>
        <v>11554.620000000003</v>
      </c>
      <c r="C114" s="8">
        <v>418.74</v>
      </c>
      <c r="D114" s="8">
        <v>409.92</v>
      </c>
      <c r="E114" s="8">
        <v>413.28</v>
      </c>
      <c r="F114" s="8">
        <v>426.3</v>
      </c>
      <c r="G114" s="8">
        <v>464.52</v>
      </c>
      <c r="H114" s="8">
        <v>521.64</v>
      </c>
      <c r="I114" s="8">
        <v>530.88</v>
      </c>
      <c r="J114" s="8">
        <v>479.64</v>
      </c>
      <c r="K114" s="8">
        <v>485.94</v>
      </c>
      <c r="L114" s="8">
        <v>477.12</v>
      </c>
      <c r="M114" s="8">
        <v>486.36</v>
      </c>
      <c r="N114" s="8">
        <v>475.44</v>
      </c>
      <c r="O114" s="8">
        <v>450.66</v>
      </c>
      <c r="P114" s="8">
        <v>438.06</v>
      </c>
      <c r="Q114" s="8">
        <v>440.16</v>
      </c>
      <c r="R114" s="8">
        <v>464.1</v>
      </c>
      <c r="S114" s="8">
        <v>496.86</v>
      </c>
      <c r="T114" s="8">
        <v>517.02</v>
      </c>
      <c r="U114" s="8">
        <v>529.62</v>
      </c>
      <c r="V114" s="8">
        <v>595.98</v>
      </c>
      <c r="W114" s="8">
        <v>571.62</v>
      </c>
      <c r="X114" s="8">
        <v>530.04</v>
      </c>
      <c r="Y114" s="8">
        <v>486.36</v>
      </c>
      <c r="Z114" s="8">
        <v>444.36</v>
      </c>
    </row>
    <row r="115" spans="1:26" x14ac:dyDescent="0.25">
      <c r="A115" s="4">
        <v>41382</v>
      </c>
      <c r="B115" s="5">
        <f>SUM('2013 - 8760 Load'!_Day474)</f>
        <v>12408.06</v>
      </c>
      <c r="C115" s="8">
        <v>432.6</v>
      </c>
      <c r="D115" s="8">
        <v>414.54</v>
      </c>
      <c r="E115" s="8">
        <v>419.16</v>
      </c>
      <c r="F115" s="8">
        <v>427.98</v>
      </c>
      <c r="G115" s="8">
        <v>479.64</v>
      </c>
      <c r="H115" s="8">
        <v>522.05999999999995</v>
      </c>
      <c r="I115" s="8">
        <v>555.66</v>
      </c>
      <c r="J115" s="8">
        <v>512.82000000000005</v>
      </c>
      <c r="K115" s="8">
        <v>518.28</v>
      </c>
      <c r="L115" s="8">
        <v>509.46</v>
      </c>
      <c r="M115" s="8">
        <v>488.04</v>
      </c>
      <c r="N115" s="8">
        <v>498.54</v>
      </c>
      <c r="O115" s="8">
        <v>481.74</v>
      </c>
      <c r="P115" s="8">
        <v>495.6</v>
      </c>
      <c r="Q115" s="8">
        <v>475.02</v>
      </c>
      <c r="R115" s="8">
        <v>551.04</v>
      </c>
      <c r="S115" s="8">
        <v>580.86</v>
      </c>
      <c r="T115" s="8">
        <v>617.82000000000005</v>
      </c>
      <c r="U115" s="8">
        <v>630</v>
      </c>
      <c r="V115" s="8">
        <v>676.2</v>
      </c>
      <c r="W115" s="8">
        <v>605.22</v>
      </c>
      <c r="X115" s="8">
        <v>547.67999999999995</v>
      </c>
      <c r="Y115" s="8">
        <v>505.26</v>
      </c>
      <c r="Z115" s="8">
        <v>462.84</v>
      </c>
    </row>
    <row r="116" spans="1:26" x14ac:dyDescent="0.25">
      <c r="A116" s="4">
        <v>41383</v>
      </c>
      <c r="B116" s="5">
        <f>SUM('2013 - 8760 Load'!_Day475)</f>
        <v>11943.539999999997</v>
      </c>
      <c r="C116" s="8">
        <v>441</v>
      </c>
      <c r="D116" s="8">
        <v>427.98</v>
      </c>
      <c r="E116" s="8">
        <v>415.8</v>
      </c>
      <c r="F116" s="8">
        <v>418.32</v>
      </c>
      <c r="G116" s="8">
        <v>450.66</v>
      </c>
      <c r="H116" s="8">
        <v>507.36</v>
      </c>
      <c r="I116" s="8">
        <v>518.70000000000005</v>
      </c>
      <c r="J116" s="8">
        <v>491.82</v>
      </c>
      <c r="K116" s="8">
        <v>482.58</v>
      </c>
      <c r="L116" s="8">
        <v>525.84</v>
      </c>
      <c r="M116" s="8">
        <v>510.72</v>
      </c>
      <c r="N116" s="8">
        <v>503.58</v>
      </c>
      <c r="O116" s="8">
        <v>504.84</v>
      </c>
      <c r="P116" s="8">
        <v>469.56</v>
      </c>
      <c r="Q116" s="8">
        <v>472.5</v>
      </c>
      <c r="R116" s="8">
        <v>488.46</v>
      </c>
      <c r="S116" s="8">
        <v>512.82000000000005</v>
      </c>
      <c r="T116" s="8">
        <v>551.46</v>
      </c>
      <c r="U116" s="8">
        <v>553.55999999999995</v>
      </c>
      <c r="V116" s="8">
        <v>577.91999999999996</v>
      </c>
      <c r="W116" s="8">
        <v>576.24</v>
      </c>
      <c r="X116" s="8">
        <v>562.38</v>
      </c>
      <c r="Y116" s="8">
        <v>509.88</v>
      </c>
      <c r="Z116" s="8">
        <v>469.56</v>
      </c>
    </row>
    <row r="117" spans="1:26" x14ac:dyDescent="0.25">
      <c r="A117" s="4">
        <v>41384</v>
      </c>
      <c r="B117" s="5">
        <f>SUM('2013 - 8760 Load'!_Day476)</f>
        <v>13718.039999999999</v>
      </c>
      <c r="C117" s="8">
        <v>434.28</v>
      </c>
      <c r="D117" s="8">
        <v>430.08</v>
      </c>
      <c r="E117" s="8">
        <v>427.98</v>
      </c>
      <c r="F117" s="8">
        <v>434.7</v>
      </c>
      <c r="G117" s="8">
        <v>443.1</v>
      </c>
      <c r="H117" s="8">
        <v>483</v>
      </c>
      <c r="I117" s="8">
        <v>537.17999999999995</v>
      </c>
      <c r="J117" s="8">
        <v>595.14</v>
      </c>
      <c r="K117" s="8">
        <v>632.1</v>
      </c>
      <c r="L117" s="8">
        <v>627.9</v>
      </c>
      <c r="M117" s="8">
        <v>625.79999999999995</v>
      </c>
      <c r="N117" s="8">
        <v>640.08000000000004</v>
      </c>
      <c r="O117" s="8">
        <v>602.70000000000005</v>
      </c>
      <c r="P117" s="8">
        <v>595.14</v>
      </c>
      <c r="Q117" s="8">
        <v>583.38</v>
      </c>
      <c r="R117" s="8">
        <v>578.76</v>
      </c>
      <c r="S117" s="8">
        <v>607.32000000000005</v>
      </c>
      <c r="T117" s="8">
        <v>612.78</v>
      </c>
      <c r="U117" s="8">
        <v>626.22</v>
      </c>
      <c r="V117" s="8">
        <v>682.08</v>
      </c>
      <c r="W117" s="8">
        <v>667.38</v>
      </c>
      <c r="X117" s="8">
        <v>654.78</v>
      </c>
      <c r="Y117" s="8">
        <v>627.9</v>
      </c>
      <c r="Z117" s="8">
        <v>568.26</v>
      </c>
    </row>
    <row r="118" spans="1:26" x14ac:dyDescent="0.25">
      <c r="A118" s="4">
        <v>41385</v>
      </c>
      <c r="B118" s="5">
        <f>SUM('2013 - 8760 Load'!_Day477)</f>
        <v>14379.12</v>
      </c>
      <c r="C118" s="8">
        <v>539.70000000000005</v>
      </c>
      <c r="D118" s="8">
        <v>528.36</v>
      </c>
      <c r="E118" s="8">
        <v>525.41999999999996</v>
      </c>
      <c r="F118" s="8">
        <v>526.67999999999995</v>
      </c>
      <c r="G118" s="8">
        <v>535.08000000000004</v>
      </c>
      <c r="H118" s="8">
        <v>567.84</v>
      </c>
      <c r="I118" s="8">
        <v>614.46</v>
      </c>
      <c r="J118" s="8">
        <v>672</v>
      </c>
      <c r="K118" s="8">
        <v>654.36</v>
      </c>
      <c r="L118" s="8">
        <v>653.94000000000005</v>
      </c>
      <c r="M118" s="8">
        <v>663.6</v>
      </c>
      <c r="N118" s="8">
        <v>643.44000000000005</v>
      </c>
      <c r="O118" s="8">
        <v>616.14</v>
      </c>
      <c r="P118" s="8">
        <v>577.91999999999996</v>
      </c>
      <c r="Q118" s="8">
        <v>581.28</v>
      </c>
      <c r="R118" s="8">
        <v>601.02</v>
      </c>
      <c r="S118" s="8">
        <v>593.46</v>
      </c>
      <c r="T118" s="8">
        <v>594.29999999999995</v>
      </c>
      <c r="U118" s="8">
        <v>618.24</v>
      </c>
      <c r="V118" s="8">
        <v>712.74</v>
      </c>
      <c r="W118" s="8">
        <v>656.04</v>
      </c>
      <c r="X118" s="8">
        <v>613.62</v>
      </c>
      <c r="Y118" s="8">
        <v>562.38</v>
      </c>
      <c r="Z118" s="8">
        <v>527.1</v>
      </c>
    </row>
    <row r="119" spans="1:26" x14ac:dyDescent="0.25">
      <c r="A119" s="4">
        <v>41386</v>
      </c>
      <c r="B119" s="5">
        <f>SUM('2013 - 8760 Load'!_Day478)</f>
        <v>12943.140000000001</v>
      </c>
      <c r="C119" s="8">
        <v>502.32</v>
      </c>
      <c r="D119" s="8">
        <v>498.12</v>
      </c>
      <c r="E119" s="8">
        <v>506.1</v>
      </c>
      <c r="F119" s="8">
        <v>500.22</v>
      </c>
      <c r="G119" s="8">
        <v>533.82000000000005</v>
      </c>
      <c r="H119" s="8">
        <v>596.82000000000005</v>
      </c>
      <c r="I119" s="8">
        <v>608.16</v>
      </c>
      <c r="J119" s="8">
        <v>580.86</v>
      </c>
      <c r="K119" s="8">
        <v>552.72</v>
      </c>
      <c r="L119" s="8">
        <v>526.67999999999995</v>
      </c>
      <c r="M119" s="8">
        <v>518.70000000000005</v>
      </c>
      <c r="N119" s="8">
        <v>508.2</v>
      </c>
      <c r="O119" s="8">
        <v>501.06</v>
      </c>
      <c r="P119" s="8">
        <v>477.96</v>
      </c>
      <c r="Q119" s="8">
        <v>496.02</v>
      </c>
      <c r="R119" s="8">
        <v>486.78</v>
      </c>
      <c r="S119" s="8">
        <v>516.6</v>
      </c>
      <c r="T119" s="8">
        <v>553.98</v>
      </c>
      <c r="U119" s="8">
        <v>598.08000000000004</v>
      </c>
      <c r="V119" s="8">
        <v>649.74</v>
      </c>
      <c r="W119" s="8">
        <v>613.20000000000005</v>
      </c>
      <c r="X119" s="8">
        <v>589.67999999999995</v>
      </c>
      <c r="Y119" s="8">
        <v>527.1</v>
      </c>
      <c r="Z119" s="8">
        <v>500.22</v>
      </c>
    </row>
    <row r="120" spans="1:26" x14ac:dyDescent="0.25">
      <c r="A120" s="4">
        <v>41387</v>
      </c>
      <c r="B120" s="5">
        <f>SUM('2013 - 8760 Load'!_Day479)</f>
        <v>13528.2</v>
      </c>
      <c r="C120" s="8">
        <v>484.68</v>
      </c>
      <c r="D120" s="8">
        <v>480.48</v>
      </c>
      <c r="E120" s="8">
        <v>477.54</v>
      </c>
      <c r="F120" s="8">
        <v>480.06</v>
      </c>
      <c r="G120" s="8">
        <v>531.72</v>
      </c>
      <c r="H120" s="8">
        <v>593.04</v>
      </c>
      <c r="I120" s="8">
        <v>595.55999999999995</v>
      </c>
      <c r="J120" s="8">
        <v>575.4</v>
      </c>
      <c r="K120" s="8">
        <v>558.6</v>
      </c>
      <c r="L120" s="8">
        <v>546.41999999999996</v>
      </c>
      <c r="M120" s="8">
        <v>559.44000000000005</v>
      </c>
      <c r="N120" s="8">
        <v>581.70000000000005</v>
      </c>
      <c r="O120" s="8">
        <v>554.82000000000005</v>
      </c>
      <c r="P120" s="8">
        <v>539.70000000000005</v>
      </c>
      <c r="Q120" s="8">
        <v>534.24</v>
      </c>
      <c r="R120" s="8">
        <v>544.32000000000005</v>
      </c>
      <c r="S120" s="8">
        <v>595.14</v>
      </c>
      <c r="T120" s="8">
        <v>612.78</v>
      </c>
      <c r="U120" s="8">
        <v>632.1</v>
      </c>
      <c r="V120" s="8">
        <v>708.54</v>
      </c>
      <c r="W120" s="8">
        <v>651.84</v>
      </c>
      <c r="X120" s="8">
        <v>614.04</v>
      </c>
      <c r="Y120" s="8">
        <v>559.02</v>
      </c>
      <c r="Z120" s="8">
        <v>517.02</v>
      </c>
    </row>
    <row r="121" spans="1:26" x14ac:dyDescent="0.25">
      <c r="A121" s="4">
        <v>41388</v>
      </c>
      <c r="B121" s="5">
        <f>SUM('2013 - 8760 Load'!_Day480)</f>
        <v>12145.979999999998</v>
      </c>
      <c r="C121" s="8">
        <v>510.72</v>
      </c>
      <c r="D121" s="8">
        <v>508.62</v>
      </c>
      <c r="E121" s="8">
        <v>496.86</v>
      </c>
      <c r="F121" s="8">
        <v>511.14</v>
      </c>
      <c r="G121" s="8">
        <v>543.48</v>
      </c>
      <c r="H121" s="8">
        <v>598.08000000000004</v>
      </c>
      <c r="I121" s="8">
        <v>577.91999999999996</v>
      </c>
      <c r="J121" s="8">
        <v>544.74</v>
      </c>
      <c r="K121" s="8">
        <v>512.4</v>
      </c>
      <c r="L121" s="8">
        <v>485.52</v>
      </c>
      <c r="M121" s="8">
        <v>474.18</v>
      </c>
      <c r="N121" s="8">
        <v>452.34</v>
      </c>
      <c r="O121" s="8">
        <v>460.32</v>
      </c>
      <c r="P121" s="8">
        <v>427.98</v>
      </c>
      <c r="Q121" s="8">
        <v>441.84</v>
      </c>
      <c r="R121" s="8">
        <v>451.08</v>
      </c>
      <c r="S121" s="8">
        <v>480.9</v>
      </c>
      <c r="T121" s="8">
        <v>507.78</v>
      </c>
      <c r="U121" s="8">
        <v>566.58000000000004</v>
      </c>
      <c r="V121" s="8">
        <v>624.96</v>
      </c>
      <c r="W121" s="8">
        <v>588.84</v>
      </c>
      <c r="X121" s="8">
        <v>544.32000000000005</v>
      </c>
      <c r="Y121" s="8">
        <v>469.56</v>
      </c>
      <c r="Z121" s="8">
        <v>365.82</v>
      </c>
    </row>
    <row r="122" spans="1:26" x14ac:dyDescent="0.25">
      <c r="A122" s="4">
        <v>41389</v>
      </c>
      <c r="B122" s="5">
        <f>SUM('2013 - 8760 Load'!_Day481)</f>
        <v>11694.899999999998</v>
      </c>
      <c r="C122" s="8">
        <v>346.5</v>
      </c>
      <c r="D122" s="8">
        <v>351.96</v>
      </c>
      <c r="E122" s="8">
        <v>354.9</v>
      </c>
      <c r="F122" s="8">
        <v>357</v>
      </c>
      <c r="G122" s="8">
        <v>487.62</v>
      </c>
      <c r="H122" s="8">
        <v>540.12</v>
      </c>
      <c r="I122" s="8">
        <v>546.84</v>
      </c>
      <c r="J122" s="8">
        <v>534.24</v>
      </c>
      <c r="K122" s="8">
        <v>521.22</v>
      </c>
      <c r="L122" s="8">
        <v>509.04</v>
      </c>
      <c r="M122" s="8">
        <v>498.12</v>
      </c>
      <c r="N122" s="8">
        <v>501.9</v>
      </c>
      <c r="O122" s="8">
        <v>472.08</v>
      </c>
      <c r="P122" s="8">
        <v>472.08</v>
      </c>
      <c r="Q122" s="8">
        <v>428.82</v>
      </c>
      <c r="R122" s="8">
        <v>462.42</v>
      </c>
      <c r="S122" s="8">
        <v>484.26</v>
      </c>
      <c r="T122" s="8">
        <v>504</v>
      </c>
      <c r="U122" s="8">
        <v>539.70000000000005</v>
      </c>
      <c r="V122" s="8">
        <v>625.38</v>
      </c>
      <c r="W122" s="8">
        <v>608.58000000000004</v>
      </c>
      <c r="X122" s="8">
        <v>557.34</v>
      </c>
      <c r="Y122" s="8">
        <v>511.14</v>
      </c>
      <c r="Z122" s="8">
        <v>479.64</v>
      </c>
    </row>
    <row r="123" spans="1:26" x14ac:dyDescent="0.25">
      <c r="A123" s="4">
        <v>41390</v>
      </c>
      <c r="B123" s="5">
        <f>SUM('2013 - 8760 Load'!_Day482)</f>
        <v>12277.019999999999</v>
      </c>
      <c r="C123" s="8">
        <v>467.88</v>
      </c>
      <c r="D123" s="8">
        <v>456.12</v>
      </c>
      <c r="E123" s="8">
        <v>466.62</v>
      </c>
      <c r="F123" s="8">
        <v>470.4</v>
      </c>
      <c r="G123" s="8">
        <v>515.76</v>
      </c>
      <c r="H123" s="8">
        <v>553.14</v>
      </c>
      <c r="I123" s="8">
        <v>567.84</v>
      </c>
      <c r="J123" s="8">
        <v>536.76</v>
      </c>
      <c r="K123" s="8">
        <v>497.28</v>
      </c>
      <c r="L123" s="8">
        <v>488.46</v>
      </c>
      <c r="M123" s="8">
        <v>467.88</v>
      </c>
      <c r="N123" s="8">
        <v>474.6</v>
      </c>
      <c r="O123" s="8">
        <v>448.98</v>
      </c>
      <c r="P123" s="8">
        <v>451.5</v>
      </c>
      <c r="Q123" s="8">
        <v>454.44</v>
      </c>
      <c r="R123" s="8">
        <v>476.7</v>
      </c>
      <c r="S123" s="8">
        <v>509.04</v>
      </c>
      <c r="T123" s="8">
        <v>543.9</v>
      </c>
      <c r="U123" s="8">
        <v>547.26</v>
      </c>
      <c r="V123" s="8">
        <v>623.70000000000005</v>
      </c>
      <c r="W123" s="8">
        <v>627.9</v>
      </c>
      <c r="X123" s="8">
        <v>584.22</v>
      </c>
      <c r="Y123" s="8">
        <v>551.04</v>
      </c>
      <c r="Z123" s="8">
        <v>495.6</v>
      </c>
    </row>
    <row r="124" spans="1:26" x14ac:dyDescent="0.25">
      <c r="A124" s="4">
        <v>41391</v>
      </c>
      <c r="B124" s="5">
        <f>SUM('2013 - 8760 Load'!_Day483)</f>
        <v>12523.980000000001</v>
      </c>
      <c r="C124" s="8">
        <v>483</v>
      </c>
      <c r="D124" s="8">
        <v>472.5</v>
      </c>
      <c r="E124" s="8">
        <v>472.5</v>
      </c>
      <c r="F124" s="8">
        <v>483.42</v>
      </c>
      <c r="G124" s="8">
        <v>495.6</v>
      </c>
      <c r="H124" s="8">
        <v>522.48</v>
      </c>
      <c r="I124" s="8">
        <v>561.96</v>
      </c>
      <c r="J124" s="8">
        <v>584.22</v>
      </c>
      <c r="K124" s="8">
        <v>581.70000000000005</v>
      </c>
      <c r="L124" s="8">
        <v>548.52</v>
      </c>
      <c r="M124" s="8">
        <v>540.54</v>
      </c>
      <c r="N124" s="8">
        <v>507.78</v>
      </c>
      <c r="O124" s="8">
        <v>482.58</v>
      </c>
      <c r="P124" s="8">
        <v>463.26</v>
      </c>
      <c r="Q124" s="8">
        <v>469.56</v>
      </c>
      <c r="R124" s="8">
        <v>475.86</v>
      </c>
      <c r="S124" s="8">
        <v>505.26</v>
      </c>
      <c r="T124" s="8">
        <v>518.28</v>
      </c>
      <c r="U124" s="8">
        <v>548.94000000000005</v>
      </c>
      <c r="V124" s="8">
        <v>599.76</v>
      </c>
      <c r="W124" s="8">
        <v>604.38</v>
      </c>
      <c r="X124" s="8">
        <v>591.36</v>
      </c>
      <c r="Y124" s="8">
        <v>526.67999999999995</v>
      </c>
      <c r="Z124" s="8">
        <v>483.84</v>
      </c>
    </row>
    <row r="125" spans="1:26" x14ac:dyDescent="0.25">
      <c r="A125" s="4">
        <v>41392</v>
      </c>
      <c r="B125" s="5">
        <f>SUM('2013 - 8760 Load'!_Day484)</f>
        <v>12307.259999999998</v>
      </c>
      <c r="C125" s="8">
        <v>460.74</v>
      </c>
      <c r="D125" s="8">
        <v>448.14</v>
      </c>
      <c r="E125" s="8">
        <v>438.06</v>
      </c>
      <c r="F125" s="8">
        <v>441.42</v>
      </c>
      <c r="G125" s="8">
        <v>467.04</v>
      </c>
      <c r="H125" s="8">
        <v>477.54</v>
      </c>
      <c r="I125" s="8">
        <v>533.82000000000005</v>
      </c>
      <c r="J125" s="8">
        <v>564.9</v>
      </c>
      <c r="K125" s="8">
        <v>581.70000000000005</v>
      </c>
      <c r="L125" s="8">
        <v>543.05999999999995</v>
      </c>
      <c r="M125" s="8">
        <v>535.08000000000004</v>
      </c>
      <c r="N125" s="8">
        <v>519.12</v>
      </c>
      <c r="O125" s="8">
        <v>497.28</v>
      </c>
      <c r="P125" s="8">
        <v>501.48</v>
      </c>
      <c r="Q125" s="8">
        <v>508.2</v>
      </c>
      <c r="R125" s="8">
        <v>512.82000000000005</v>
      </c>
      <c r="S125" s="8">
        <v>536.76</v>
      </c>
      <c r="T125" s="8">
        <v>551.04</v>
      </c>
      <c r="U125" s="8">
        <v>584.64</v>
      </c>
      <c r="V125" s="8">
        <v>627.48</v>
      </c>
      <c r="W125" s="8">
        <v>561.54</v>
      </c>
      <c r="X125" s="8">
        <v>518.70000000000005</v>
      </c>
      <c r="Y125" s="8">
        <v>475.86</v>
      </c>
      <c r="Z125" s="8">
        <v>420.84</v>
      </c>
    </row>
    <row r="126" spans="1:26" x14ac:dyDescent="0.25">
      <c r="A126" s="4">
        <v>41393</v>
      </c>
      <c r="B126" s="5">
        <f>SUM('2013 - 8760 Load'!_Day485)</f>
        <v>12360.18</v>
      </c>
      <c r="C126" s="8">
        <v>400.26</v>
      </c>
      <c r="D126" s="8">
        <v>391.86</v>
      </c>
      <c r="E126" s="8">
        <v>397.32</v>
      </c>
      <c r="F126" s="8">
        <v>409.92</v>
      </c>
      <c r="G126" s="8">
        <v>452.34</v>
      </c>
      <c r="H126" s="8">
        <v>489.3</v>
      </c>
      <c r="I126" s="8">
        <v>500.22</v>
      </c>
      <c r="J126" s="8">
        <v>490.98</v>
      </c>
      <c r="K126" s="8">
        <v>480.9</v>
      </c>
      <c r="L126" s="8">
        <v>488.46</v>
      </c>
      <c r="M126" s="8">
        <v>504.84</v>
      </c>
      <c r="N126" s="8">
        <v>486.78</v>
      </c>
      <c r="O126" s="8">
        <v>492.66</v>
      </c>
      <c r="P126" s="8">
        <v>514.91999999999996</v>
      </c>
      <c r="Q126" s="8">
        <v>552.72</v>
      </c>
      <c r="R126" s="8">
        <v>568.67999999999995</v>
      </c>
      <c r="S126" s="8">
        <v>613.20000000000005</v>
      </c>
      <c r="T126" s="8">
        <v>642.17999999999995</v>
      </c>
      <c r="U126" s="8">
        <v>637.14</v>
      </c>
      <c r="V126" s="8">
        <v>676.62</v>
      </c>
      <c r="W126" s="8">
        <v>620.76</v>
      </c>
      <c r="X126" s="8">
        <v>572.46</v>
      </c>
      <c r="Y126" s="8">
        <v>509.46</v>
      </c>
      <c r="Z126" s="8">
        <v>466.2</v>
      </c>
    </row>
    <row r="127" spans="1:26" x14ac:dyDescent="0.25">
      <c r="A127" s="4">
        <v>41394</v>
      </c>
      <c r="B127" s="5">
        <f>SUM('2013 - 8760 Load'!_Day486)</f>
        <v>11651.640000000003</v>
      </c>
      <c r="C127" s="8">
        <v>441.42</v>
      </c>
      <c r="D127" s="8">
        <v>429.24</v>
      </c>
      <c r="E127" s="8">
        <v>430.5</v>
      </c>
      <c r="F127" s="8">
        <v>437.64</v>
      </c>
      <c r="G127" s="8">
        <v>478.38</v>
      </c>
      <c r="H127" s="8">
        <v>522.05999999999995</v>
      </c>
      <c r="I127" s="8">
        <v>521.64</v>
      </c>
      <c r="J127" s="8">
        <v>496.44</v>
      </c>
      <c r="K127" s="8">
        <v>480.48</v>
      </c>
      <c r="L127" s="8">
        <v>476.7</v>
      </c>
      <c r="M127" s="8">
        <v>490.56</v>
      </c>
      <c r="N127" s="8">
        <v>468.3</v>
      </c>
      <c r="O127" s="8">
        <v>462.42</v>
      </c>
      <c r="P127" s="8">
        <v>439.74</v>
      </c>
      <c r="Q127" s="8">
        <v>438.06</v>
      </c>
      <c r="R127" s="8">
        <v>470.4</v>
      </c>
      <c r="S127" s="8">
        <v>491.82</v>
      </c>
      <c r="T127" s="8">
        <v>509.04</v>
      </c>
      <c r="U127" s="8">
        <v>533.82000000000005</v>
      </c>
      <c r="V127" s="8">
        <v>582.54</v>
      </c>
      <c r="W127" s="8">
        <v>568.67999999999995</v>
      </c>
      <c r="X127" s="8">
        <v>539.28</v>
      </c>
      <c r="Y127" s="8">
        <v>487.62</v>
      </c>
      <c r="Z127" s="8">
        <v>454.86</v>
      </c>
    </row>
    <row r="128" spans="1:26" x14ac:dyDescent="0.25">
      <c r="A128" s="4">
        <v>41395</v>
      </c>
      <c r="B128" s="5">
        <f>SUM('2013 - 8760 Load'!_Day487)</f>
        <v>11680.620000000003</v>
      </c>
      <c r="C128" s="8">
        <v>425.46</v>
      </c>
      <c r="D128" s="8">
        <v>421.26</v>
      </c>
      <c r="E128" s="8">
        <v>432.6</v>
      </c>
      <c r="F128" s="8">
        <v>454.02</v>
      </c>
      <c r="G128" s="8">
        <v>487.2</v>
      </c>
      <c r="H128" s="8">
        <v>525</v>
      </c>
      <c r="I128" s="8">
        <v>533.82000000000005</v>
      </c>
      <c r="J128" s="8">
        <v>494.34</v>
      </c>
      <c r="K128" s="8">
        <v>504.84</v>
      </c>
      <c r="L128" s="8">
        <v>522.9</v>
      </c>
      <c r="M128" s="8">
        <v>472.5</v>
      </c>
      <c r="N128" s="8">
        <v>450.66</v>
      </c>
      <c r="O128" s="8">
        <v>458.64</v>
      </c>
      <c r="P128" s="8">
        <v>458.22</v>
      </c>
      <c r="Q128" s="8">
        <v>447.72</v>
      </c>
      <c r="R128" s="8">
        <v>457.38</v>
      </c>
      <c r="S128" s="8">
        <v>469.56</v>
      </c>
      <c r="T128" s="8">
        <v>518.70000000000005</v>
      </c>
      <c r="U128" s="8">
        <v>535.5</v>
      </c>
      <c r="V128" s="8">
        <v>598.08000000000004</v>
      </c>
      <c r="W128" s="8">
        <v>598.5</v>
      </c>
      <c r="X128" s="8">
        <v>519.12</v>
      </c>
      <c r="Y128" s="8">
        <v>461.16</v>
      </c>
      <c r="Z128" s="8">
        <v>433.44</v>
      </c>
    </row>
    <row r="129" spans="1:26" x14ac:dyDescent="0.25">
      <c r="A129" s="4">
        <v>41396</v>
      </c>
      <c r="B129" s="5">
        <f>SUM('2013 - 8760 Load'!_Day488)</f>
        <v>11129.579999999998</v>
      </c>
      <c r="C129" s="8">
        <v>411.18</v>
      </c>
      <c r="D129" s="8">
        <v>407.4</v>
      </c>
      <c r="E129" s="8">
        <v>409.5</v>
      </c>
      <c r="F129" s="8">
        <v>414.12</v>
      </c>
      <c r="G129" s="8">
        <v>465.78</v>
      </c>
      <c r="H129" s="8">
        <v>519.12</v>
      </c>
      <c r="I129" s="8">
        <v>525.41999999999996</v>
      </c>
      <c r="J129" s="8">
        <v>488.88</v>
      </c>
      <c r="K129" s="8">
        <v>467.46</v>
      </c>
      <c r="L129" s="8">
        <v>462.84</v>
      </c>
      <c r="M129" s="8">
        <v>452.34</v>
      </c>
      <c r="N129" s="8">
        <v>446.46</v>
      </c>
      <c r="O129" s="8">
        <v>417.06</v>
      </c>
      <c r="P129" s="8">
        <v>427.98</v>
      </c>
      <c r="Q129" s="8">
        <v>426.3</v>
      </c>
      <c r="R129" s="8">
        <v>436.38</v>
      </c>
      <c r="S129" s="8">
        <v>493.5</v>
      </c>
      <c r="T129" s="8">
        <v>485.52</v>
      </c>
      <c r="U129" s="8">
        <v>488.88</v>
      </c>
      <c r="V129" s="8">
        <v>562.79999999999995</v>
      </c>
      <c r="W129" s="8">
        <v>564.05999999999995</v>
      </c>
      <c r="X129" s="8">
        <v>509.88</v>
      </c>
      <c r="Y129" s="8">
        <v>441.42</v>
      </c>
      <c r="Z129" s="8">
        <v>405.3</v>
      </c>
    </row>
    <row r="130" spans="1:26" x14ac:dyDescent="0.25">
      <c r="A130" s="4">
        <v>41397</v>
      </c>
      <c r="B130" s="5">
        <f>SUM('2013 - 8760 Load'!_Day489)</f>
        <v>10964.1</v>
      </c>
      <c r="C130" s="8">
        <v>388.08</v>
      </c>
      <c r="D130" s="8">
        <v>374.22</v>
      </c>
      <c r="E130" s="8">
        <v>371.7</v>
      </c>
      <c r="F130" s="8">
        <v>383.04</v>
      </c>
      <c r="G130" s="8">
        <v>424.62</v>
      </c>
      <c r="H130" s="8">
        <v>478.8</v>
      </c>
      <c r="I130" s="8">
        <v>484.68</v>
      </c>
      <c r="J130" s="8">
        <v>465.36</v>
      </c>
      <c r="K130" s="8">
        <v>475.44</v>
      </c>
      <c r="L130" s="8">
        <v>449.4</v>
      </c>
      <c r="M130" s="8">
        <v>424.2</v>
      </c>
      <c r="N130" s="8">
        <v>428.4</v>
      </c>
      <c r="O130" s="8">
        <v>435.54</v>
      </c>
      <c r="P130" s="8">
        <v>436.8</v>
      </c>
      <c r="Q130" s="8">
        <v>427.98</v>
      </c>
      <c r="R130" s="8">
        <v>441</v>
      </c>
      <c r="S130" s="8">
        <v>453.18</v>
      </c>
      <c r="T130" s="8">
        <v>488.04</v>
      </c>
      <c r="U130" s="8">
        <v>507.78</v>
      </c>
      <c r="V130" s="8">
        <v>569.52</v>
      </c>
      <c r="W130" s="8">
        <v>580.02</v>
      </c>
      <c r="X130" s="8">
        <v>542.22</v>
      </c>
      <c r="Y130" s="8">
        <v>493.92</v>
      </c>
      <c r="Z130" s="8">
        <v>440.16</v>
      </c>
    </row>
    <row r="131" spans="1:26" x14ac:dyDescent="0.25">
      <c r="A131" s="4">
        <v>41398</v>
      </c>
      <c r="B131" s="5">
        <f>SUM('2013 - 8760 Load'!_Day490)</f>
        <v>11918.759999999997</v>
      </c>
      <c r="C131" s="8">
        <v>424.62</v>
      </c>
      <c r="D131" s="8">
        <v>399.84</v>
      </c>
      <c r="E131" s="8">
        <v>411.18</v>
      </c>
      <c r="F131" s="8">
        <v>408.66</v>
      </c>
      <c r="G131" s="8">
        <v>440.58</v>
      </c>
      <c r="H131" s="8">
        <v>460.74</v>
      </c>
      <c r="I131" s="8">
        <v>511.14</v>
      </c>
      <c r="J131" s="8">
        <v>550.62</v>
      </c>
      <c r="K131" s="8">
        <v>526.67999999999995</v>
      </c>
      <c r="L131" s="8">
        <v>539.70000000000005</v>
      </c>
      <c r="M131" s="8">
        <v>539.70000000000005</v>
      </c>
      <c r="N131" s="8">
        <v>497.7</v>
      </c>
      <c r="O131" s="8">
        <v>489.72</v>
      </c>
      <c r="P131" s="8">
        <v>473.34</v>
      </c>
      <c r="Q131" s="8">
        <v>471.66</v>
      </c>
      <c r="R131" s="8">
        <v>503.16</v>
      </c>
      <c r="S131" s="8">
        <v>511.98</v>
      </c>
      <c r="T131" s="8">
        <v>536.76</v>
      </c>
      <c r="U131" s="8">
        <v>543.9</v>
      </c>
      <c r="V131" s="8">
        <v>584.22</v>
      </c>
      <c r="W131" s="8">
        <v>597.66</v>
      </c>
      <c r="X131" s="8">
        <v>543.05999999999995</v>
      </c>
      <c r="Y131" s="8">
        <v>493.08</v>
      </c>
      <c r="Z131" s="8">
        <v>459.06</v>
      </c>
    </row>
    <row r="132" spans="1:26" x14ac:dyDescent="0.25">
      <c r="A132" s="4">
        <v>41399</v>
      </c>
      <c r="B132" s="5">
        <f>SUM('2013 - 8760 Load'!_Day491)</f>
        <v>11757.9</v>
      </c>
      <c r="C132" s="8">
        <v>436.8</v>
      </c>
      <c r="D132" s="8">
        <v>428.4</v>
      </c>
      <c r="E132" s="8">
        <v>427.98</v>
      </c>
      <c r="F132" s="8">
        <v>427.14</v>
      </c>
      <c r="G132" s="8">
        <v>443.52</v>
      </c>
      <c r="H132" s="8">
        <v>456.54</v>
      </c>
      <c r="I132" s="8">
        <v>525</v>
      </c>
      <c r="J132" s="8">
        <v>555.24</v>
      </c>
      <c r="K132" s="8">
        <v>530.46</v>
      </c>
      <c r="L132" s="8">
        <v>531.72</v>
      </c>
      <c r="M132" s="8">
        <v>538.44000000000005</v>
      </c>
      <c r="N132" s="8">
        <v>516.17999999999995</v>
      </c>
      <c r="O132" s="8">
        <v>504</v>
      </c>
      <c r="P132" s="8">
        <v>489.3</v>
      </c>
      <c r="Q132" s="8">
        <v>488.46</v>
      </c>
      <c r="R132" s="8">
        <v>478.38</v>
      </c>
      <c r="S132" s="8">
        <v>497.28</v>
      </c>
      <c r="T132" s="8">
        <v>496.86</v>
      </c>
      <c r="U132" s="8">
        <v>504.84</v>
      </c>
      <c r="V132" s="8">
        <v>567</v>
      </c>
      <c r="W132" s="8">
        <v>538.86</v>
      </c>
      <c r="X132" s="8">
        <v>498.96</v>
      </c>
      <c r="Y132" s="8">
        <v>456.96</v>
      </c>
      <c r="Z132" s="8">
        <v>419.58</v>
      </c>
    </row>
    <row r="133" spans="1:26" x14ac:dyDescent="0.25">
      <c r="A133" s="4">
        <v>41400</v>
      </c>
      <c r="B133" s="5">
        <f>SUM('2013 - 8760 Load'!_Day492)</f>
        <v>11145.959999999997</v>
      </c>
      <c r="C133" s="8">
        <v>402.36</v>
      </c>
      <c r="D133" s="8">
        <v>404.04</v>
      </c>
      <c r="E133" s="8">
        <v>403.62</v>
      </c>
      <c r="F133" s="8">
        <v>416.22</v>
      </c>
      <c r="G133" s="8">
        <v>457.38</v>
      </c>
      <c r="H133" s="8">
        <v>497.7</v>
      </c>
      <c r="I133" s="8">
        <v>502.74</v>
      </c>
      <c r="J133" s="8">
        <v>487.2</v>
      </c>
      <c r="K133" s="8">
        <v>493.92</v>
      </c>
      <c r="L133" s="8">
        <v>461.58</v>
      </c>
      <c r="M133" s="8">
        <v>450.24</v>
      </c>
      <c r="N133" s="8">
        <v>460.74</v>
      </c>
      <c r="O133" s="8">
        <v>450.66</v>
      </c>
      <c r="P133" s="8">
        <v>427.56</v>
      </c>
      <c r="Q133" s="8">
        <v>418.32</v>
      </c>
      <c r="R133" s="8">
        <v>444.78</v>
      </c>
      <c r="S133" s="8">
        <v>484.26</v>
      </c>
      <c r="T133" s="8">
        <v>501.9</v>
      </c>
      <c r="U133" s="8">
        <v>493.92</v>
      </c>
      <c r="V133" s="8">
        <v>531.72</v>
      </c>
      <c r="W133" s="8">
        <v>561.54</v>
      </c>
      <c r="X133" s="8">
        <v>513.66</v>
      </c>
      <c r="Y133" s="8">
        <v>460.74</v>
      </c>
      <c r="Z133" s="8">
        <v>419.16</v>
      </c>
    </row>
    <row r="134" spans="1:26" x14ac:dyDescent="0.25">
      <c r="A134" s="4">
        <v>41401</v>
      </c>
      <c r="B134" s="5">
        <f>SUM('2013 - 8760 Load'!_Day493)</f>
        <v>10732.68</v>
      </c>
      <c r="C134" s="8">
        <v>398.16</v>
      </c>
      <c r="D134" s="8">
        <v>382.62</v>
      </c>
      <c r="E134" s="8">
        <v>382.62</v>
      </c>
      <c r="F134" s="8">
        <v>391.02</v>
      </c>
      <c r="G134" s="8">
        <v>417.06</v>
      </c>
      <c r="H134" s="8">
        <v>477.12</v>
      </c>
      <c r="I134" s="8">
        <v>486.36</v>
      </c>
      <c r="J134" s="8">
        <v>452.76</v>
      </c>
      <c r="K134" s="8">
        <v>430.08</v>
      </c>
      <c r="L134" s="8">
        <v>407.82</v>
      </c>
      <c r="M134" s="8">
        <v>422.52</v>
      </c>
      <c r="N134" s="8">
        <v>433.02</v>
      </c>
      <c r="O134" s="8">
        <v>422.1</v>
      </c>
      <c r="P134" s="8">
        <v>409.08</v>
      </c>
      <c r="Q134" s="8">
        <v>418.74</v>
      </c>
      <c r="R134" s="8">
        <v>437.22</v>
      </c>
      <c r="S134" s="8">
        <v>477.54</v>
      </c>
      <c r="T134" s="8">
        <v>493.92</v>
      </c>
      <c r="U134" s="8">
        <v>514.5</v>
      </c>
      <c r="V134" s="8">
        <v>559.02</v>
      </c>
      <c r="W134" s="8">
        <v>540.96</v>
      </c>
      <c r="X134" s="8">
        <v>516.17999999999995</v>
      </c>
      <c r="Y134" s="8">
        <v>457.38</v>
      </c>
      <c r="Z134" s="8">
        <v>404.88</v>
      </c>
    </row>
    <row r="135" spans="1:26" x14ac:dyDescent="0.25">
      <c r="A135" s="4">
        <v>41402</v>
      </c>
      <c r="B135" s="5">
        <f>SUM('2013 - 8760 Load'!_Day494)</f>
        <v>11286.660000000002</v>
      </c>
      <c r="C135" s="8">
        <v>378.84</v>
      </c>
      <c r="D135" s="8">
        <v>372.96</v>
      </c>
      <c r="E135" s="8">
        <v>366.66</v>
      </c>
      <c r="F135" s="8">
        <v>372.54</v>
      </c>
      <c r="G135" s="8">
        <v>400.26</v>
      </c>
      <c r="H135" s="8">
        <v>444.36</v>
      </c>
      <c r="I135" s="8">
        <v>470.82</v>
      </c>
      <c r="J135" s="8">
        <v>471.24</v>
      </c>
      <c r="K135" s="8">
        <v>454.86</v>
      </c>
      <c r="L135" s="8">
        <v>461.16</v>
      </c>
      <c r="M135" s="8">
        <v>467.04</v>
      </c>
      <c r="N135" s="8">
        <v>451.5</v>
      </c>
      <c r="O135" s="8">
        <v>441</v>
      </c>
      <c r="P135" s="8">
        <v>484.68</v>
      </c>
      <c r="Q135" s="8">
        <v>488.04</v>
      </c>
      <c r="R135" s="8">
        <v>512.82000000000005</v>
      </c>
      <c r="S135" s="8">
        <v>550.20000000000005</v>
      </c>
      <c r="T135" s="8">
        <v>579.6</v>
      </c>
      <c r="U135" s="8">
        <v>562.38</v>
      </c>
      <c r="V135" s="8">
        <v>596.4</v>
      </c>
      <c r="W135" s="8">
        <v>569.94000000000005</v>
      </c>
      <c r="X135" s="8">
        <v>524.58000000000004</v>
      </c>
      <c r="Y135" s="8">
        <v>451.5</v>
      </c>
      <c r="Z135" s="8">
        <v>413.28</v>
      </c>
    </row>
    <row r="136" spans="1:26" x14ac:dyDescent="0.25">
      <c r="A136" s="4">
        <v>41403</v>
      </c>
      <c r="B136" s="5">
        <f>SUM('2013 - 8760 Load'!_Day495)</f>
        <v>11194.68</v>
      </c>
      <c r="C136" s="8">
        <v>390.18</v>
      </c>
      <c r="D136" s="8">
        <v>381.78</v>
      </c>
      <c r="E136" s="8">
        <v>381.36</v>
      </c>
      <c r="F136" s="8">
        <v>387.24</v>
      </c>
      <c r="G136" s="8">
        <v>427.98</v>
      </c>
      <c r="H136" s="8">
        <v>461.58</v>
      </c>
      <c r="I136" s="8">
        <v>473.76</v>
      </c>
      <c r="J136" s="8">
        <v>471.66</v>
      </c>
      <c r="K136" s="8">
        <v>482.16</v>
      </c>
      <c r="L136" s="8">
        <v>493.92</v>
      </c>
      <c r="M136" s="8">
        <v>471.24</v>
      </c>
      <c r="N136" s="8">
        <v>456.12</v>
      </c>
      <c r="O136" s="8">
        <v>443.94</v>
      </c>
      <c r="P136" s="8">
        <v>449.82</v>
      </c>
      <c r="Q136" s="8">
        <v>454.86</v>
      </c>
      <c r="R136" s="8">
        <v>456.96</v>
      </c>
      <c r="S136" s="8">
        <v>479.22</v>
      </c>
      <c r="T136" s="8">
        <v>502.74</v>
      </c>
      <c r="U136" s="8">
        <v>521.22</v>
      </c>
      <c r="V136" s="8">
        <v>590.52</v>
      </c>
      <c r="W136" s="8">
        <v>592.20000000000005</v>
      </c>
      <c r="X136" s="8">
        <v>539.28</v>
      </c>
      <c r="Y136" s="8">
        <v>470.4</v>
      </c>
      <c r="Z136" s="8">
        <v>414.54</v>
      </c>
    </row>
    <row r="137" spans="1:26" x14ac:dyDescent="0.25">
      <c r="A137" s="4">
        <v>41404</v>
      </c>
      <c r="B137" s="5">
        <f>SUM('2013 - 8760 Load'!_Day496)</f>
        <v>11135.879999999997</v>
      </c>
      <c r="C137" s="8">
        <v>395.22</v>
      </c>
      <c r="D137" s="8">
        <v>390.6</v>
      </c>
      <c r="E137" s="8">
        <v>379.26</v>
      </c>
      <c r="F137" s="8">
        <v>386.4</v>
      </c>
      <c r="G137" s="8">
        <v>420</v>
      </c>
      <c r="H137" s="8">
        <v>470.4</v>
      </c>
      <c r="I137" s="8">
        <v>475.86</v>
      </c>
      <c r="J137" s="8">
        <v>456.96</v>
      </c>
      <c r="K137" s="8">
        <v>436.38</v>
      </c>
      <c r="L137" s="8">
        <v>441</v>
      </c>
      <c r="M137" s="8">
        <v>438.48</v>
      </c>
      <c r="N137" s="8">
        <v>442.26</v>
      </c>
      <c r="O137" s="8">
        <v>441.84</v>
      </c>
      <c r="P137" s="8">
        <v>433.86</v>
      </c>
      <c r="Q137" s="8">
        <v>434.28</v>
      </c>
      <c r="R137" s="8">
        <v>467.04</v>
      </c>
      <c r="S137" s="8">
        <v>527.52</v>
      </c>
      <c r="T137" s="8">
        <v>550.20000000000005</v>
      </c>
      <c r="U137" s="8">
        <v>529.20000000000005</v>
      </c>
      <c r="V137" s="8">
        <v>578.34</v>
      </c>
      <c r="W137" s="8">
        <v>569.52</v>
      </c>
      <c r="X137" s="8">
        <v>534.24</v>
      </c>
      <c r="Y137" s="8">
        <v>489.3</v>
      </c>
      <c r="Z137" s="8">
        <v>447.72</v>
      </c>
    </row>
    <row r="138" spans="1:26" x14ac:dyDescent="0.25">
      <c r="A138" s="4">
        <v>41405</v>
      </c>
      <c r="B138" s="5">
        <f>SUM('2013 - 8760 Load'!_Day497)</f>
        <v>12439.980000000001</v>
      </c>
      <c r="C138" s="8">
        <v>420</v>
      </c>
      <c r="D138" s="8">
        <v>399</v>
      </c>
      <c r="E138" s="8">
        <v>388.08</v>
      </c>
      <c r="F138" s="8">
        <v>389.34</v>
      </c>
      <c r="G138" s="8">
        <v>395.22</v>
      </c>
      <c r="H138" s="8">
        <v>415.38</v>
      </c>
      <c r="I138" s="8">
        <v>466.2</v>
      </c>
      <c r="J138" s="8">
        <v>515.76</v>
      </c>
      <c r="K138" s="8">
        <v>528.36</v>
      </c>
      <c r="L138" s="8">
        <v>565.32000000000005</v>
      </c>
      <c r="M138" s="8">
        <v>566.16</v>
      </c>
      <c r="N138" s="8">
        <v>584.22</v>
      </c>
      <c r="O138" s="8">
        <v>588</v>
      </c>
      <c r="P138" s="8">
        <v>565.74</v>
      </c>
      <c r="Q138" s="8">
        <v>554.82000000000005</v>
      </c>
      <c r="R138" s="8">
        <v>561.54</v>
      </c>
      <c r="S138" s="8">
        <v>561.54</v>
      </c>
      <c r="T138" s="8">
        <v>585.05999999999995</v>
      </c>
      <c r="U138" s="8">
        <v>594.29999999999995</v>
      </c>
      <c r="V138" s="8">
        <v>600.6</v>
      </c>
      <c r="W138" s="8">
        <v>624.12</v>
      </c>
      <c r="X138" s="8">
        <v>589.26</v>
      </c>
      <c r="Y138" s="8">
        <v>517.86</v>
      </c>
      <c r="Z138" s="8">
        <v>464.1</v>
      </c>
    </row>
    <row r="139" spans="1:26" x14ac:dyDescent="0.25">
      <c r="A139" s="4">
        <v>41406</v>
      </c>
      <c r="B139" s="5">
        <f>SUM('2013 - 8760 Load'!_Day498)</f>
        <v>12241.32</v>
      </c>
      <c r="C139" s="8">
        <v>435.96</v>
      </c>
      <c r="D139" s="8">
        <v>422.52</v>
      </c>
      <c r="E139" s="8">
        <v>402.78</v>
      </c>
      <c r="F139" s="8">
        <v>402.36</v>
      </c>
      <c r="G139" s="8">
        <v>406.56</v>
      </c>
      <c r="H139" s="8">
        <v>428.4</v>
      </c>
      <c r="I139" s="8">
        <v>479.22</v>
      </c>
      <c r="J139" s="8">
        <v>519.54</v>
      </c>
      <c r="K139" s="8">
        <v>540.12</v>
      </c>
      <c r="L139" s="8">
        <v>574.14</v>
      </c>
      <c r="M139" s="8">
        <v>566.58000000000004</v>
      </c>
      <c r="N139" s="8">
        <v>566.58000000000004</v>
      </c>
      <c r="O139" s="8">
        <v>521.22</v>
      </c>
      <c r="P139" s="8">
        <v>498.54</v>
      </c>
      <c r="Q139" s="8">
        <v>494.34</v>
      </c>
      <c r="R139" s="8">
        <v>525.41999999999996</v>
      </c>
      <c r="S139" s="8">
        <v>538.86</v>
      </c>
      <c r="T139" s="8">
        <v>545.16</v>
      </c>
      <c r="U139" s="8">
        <v>551.88</v>
      </c>
      <c r="V139" s="8">
        <v>652.26</v>
      </c>
      <c r="W139" s="8">
        <v>626.64</v>
      </c>
      <c r="X139" s="8">
        <v>559.44000000000005</v>
      </c>
      <c r="Y139" s="8">
        <v>510.72</v>
      </c>
      <c r="Z139" s="8">
        <v>472.08</v>
      </c>
    </row>
    <row r="140" spans="1:26" x14ac:dyDescent="0.25">
      <c r="A140" s="4">
        <v>41407</v>
      </c>
      <c r="B140" s="5">
        <f>SUM('2013 - 8760 Load'!_Day499)</f>
        <v>12855.779999999999</v>
      </c>
      <c r="C140" s="8">
        <v>439.32</v>
      </c>
      <c r="D140" s="8">
        <v>428.4</v>
      </c>
      <c r="E140" s="8">
        <v>430.08</v>
      </c>
      <c r="F140" s="8">
        <v>440.16</v>
      </c>
      <c r="G140" s="8">
        <v>466.2</v>
      </c>
      <c r="H140" s="8">
        <v>530.88</v>
      </c>
      <c r="I140" s="8">
        <v>540.12</v>
      </c>
      <c r="J140" s="8">
        <v>510.3</v>
      </c>
      <c r="K140" s="8">
        <v>516.17999999999995</v>
      </c>
      <c r="L140" s="8">
        <v>532.98</v>
      </c>
      <c r="M140" s="8">
        <v>528.36</v>
      </c>
      <c r="N140" s="8">
        <v>528.78</v>
      </c>
      <c r="O140" s="8">
        <v>515.76</v>
      </c>
      <c r="P140" s="8">
        <v>503.58</v>
      </c>
      <c r="Q140" s="8">
        <v>527.1</v>
      </c>
      <c r="R140" s="8">
        <v>555.66</v>
      </c>
      <c r="S140" s="8">
        <v>595.14</v>
      </c>
      <c r="T140" s="8">
        <v>622.02</v>
      </c>
      <c r="U140" s="8">
        <v>638.4</v>
      </c>
      <c r="V140" s="8">
        <v>700.98</v>
      </c>
      <c r="W140" s="8">
        <v>670.32</v>
      </c>
      <c r="X140" s="8">
        <v>594.29999999999995</v>
      </c>
      <c r="Y140" s="8">
        <v>538.44000000000005</v>
      </c>
      <c r="Z140" s="8">
        <v>502.32</v>
      </c>
    </row>
    <row r="141" spans="1:26" x14ac:dyDescent="0.25">
      <c r="A141" s="4">
        <v>41408</v>
      </c>
      <c r="B141" s="5">
        <f>SUM('2013 - 8760 Load'!_Day500)</f>
        <v>12799.5</v>
      </c>
      <c r="C141" s="8">
        <v>485.94</v>
      </c>
      <c r="D141" s="8">
        <v>480.48</v>
      </c>
      <c r="E141" s="8">
        <v>488.88</v>
      </c>
      <c r="F141" s="8">
        <v>499.38</v>
      </c>
      <c r="G141" s="8">
        <v>534.24</v>
      </c>
      <c r="H141" s="8">
        <v>581.70000000000005</v>
      </c>
      <c r="I141" s="8">
        <v>573.29999999999995</v>
      </c>
      <c r="J141" s="8">
        <v>544.74</v>
      </c>
      <c r="K141" s="8">
        <v>532.98</v>
      </c>
      <c r="L141" s="8">
        <v>559.02</v>
      </c>
      <c r="M141" s="8">
        <v>556.91999999999996</v>
      </c>
      <c r="N141" s="8">
        <v>526.67999999999995</v>
      </c>
      <c r="O141" s="8">
        <v>514.5</v>
      </c>
      <c r="P141" s="8">
        <v>498.12</v>
      </c>
      <c r="Q141" s="8">
        <v>489.72</v>
      </c>
      <c r="R141" s="8">
        <v>469.14</v>
      </c>
      <c r="S141" s="8">
        <v>521.22</v>
      </c>
      <c r="T141" s="8">
        <v>542.22</v>
      </c>
      <c r="U141" s="8">
        <v>546.84</v>
      </c>
      <c r="V141" s="8">
        <v>635.46</v>
      </c>
      <c r="W141" s="8">
        <v>621.6</v>
      </c>
      <c r="X141" s="8">
        <v>595.14</v>
      </c>
      <c r="Y141" s="8">
        <v>525</v>
      </c>
      <c r="Z141" s="8">
        <v>476.28</v>
      </c>
    </row>
    <row r="142" spans="1:26" x14ac:dyDescent="0.25">
      <c r="A142" s="4">
        <v>41409</v>
      </c>
      <c r="B142" s="5">
        <f>SUM('2013 - 8760 Load'!_Day501)</f>
        <v>12468.960000000001</v>
      </c>
      <c r="C142" s="8">
        <v>467.04</v>
      </c>
      <c r="D142" s="8">
        <v>460.32</v>
      </c>
      <c r="E142" s="8">
        <v>448.98</v>
      </c>
      <c r="F142" s="8">
        <v>467.88</v>
      </c>
      <c r="G142" s="8">
        <v>483.42</v>
      </c>
      <c r="H142" s="8">
        <v>532.55999999999995</v>
      </c>
      <c r="I142" s="8">
        <v>554.82000000000005</v>
      </c>
      <c r="J142" s="8">
        <v>545.16</v>
      </c>
      <c r="K142" s="8">
        <v>528.78</v>
      </c>
      <c r="L142" s="8">
        <v>520.38</v>
      </c>
      <c r="M142" s="8">
        <v>526.26</v>
      </c>
      <c r="N142" s="8">
        <v>547.67999999999995</v>
      </c>
      <c r="O142" s="8">
        <v>522.9</v>
      </c>
      <c r="P142" s="8">
        <v>506.52</v>
      </c>
      <c r="Q142" s="8">
        <v>494.34</v>
      </c>
      <c r="R142" s="8">
        <v>519.54</v>
      </c>
      <c r="S142" s="8">
        <v>527.94000000000005</v>
      </c>
      <c r="T142" s="8">
        <v>546.41999999999996</v>
      </c>
      <c r="U142" s="8">
        <v>552.29999999999995</v>
      </c>
      <c r="V142" s="8">
        <v>617.82000000000005</v>
      </c>
      <c r="W142" s="8">
        <v>612.36</v>
      </c>
      <c r="X142" s="8">
        <v>558.6</v>
      </c>
      <c r="Y142" s="8">
        <v>492.24</v>
      </c>
      <c r="Z142" s="8">
        <v>434.7</v>
      </c>
    </row>
    <row r="143" spans="1:26" x14ac:dyDescent="0.25">
      <c r="A143" s="4">
        <v>41410</v>
      </c>
      <c r="B143" s="5">
        <f>SUM('2013 - 8760 Load'!_Day502)</f>
        <v>11657.940000000002</v>
      </c>
      <c r="C143" s="8">
        <v>422.1</v>
      </c>
      <c r="D143" s="8">
        <v>403.2</v>
      </c>
      <c r="E143" s="8">
        <v>399</v>
      </c>
      <c r="F143" s="8">
        <v>408.66</v>
      </c>
      <c r="G143" s="8">
        <v>447.3</v>
      </c>
      <c r="H143" s="8">
        <v>480.48</v>
      </c>
      <c r="I143" s="8">
        <v>511.14</v>
      </c>
      <c r="J143" s="8">
        <v>490.14</v>
      </c>
      <c r="K143" s="8">
        <v>470.82</v>
      </c>
      <c r="L143" s="8">
        <v>480.06</v>
      </c>
      <c r="M143" s="8">
        <v>486.36</v>
      </c>
      <c r="N143" s="8">
        <v>489.72</v>
      </c>
      <c r="O143" s="8">
        <v>495.6</v>
      </c>
      <c r="P143" s="8">
        <v>482.16</v>
      </c>
      <c r="Q143" s="8">
        <v>469.14</v>
      </c>
      <c r="R143" s="8">
        <v>479.22</v>
      </c>
      <c r="S143" s="8">
        <v>516.17999999999995</v>
      </c>
      <c r="T143" s="8">
        <v>524.58000000000004</v>
      </c>
      <c r="U143" s="8">
        <v>548.1</v>
      </c>
      <c r="V143" s="8">
        <v>585.9</v>
      </c>
      <c r="W143" s="8">
        <v>621.6</v>
      </c>
      <c r="X143" s="8">
        <v>543.05999999999995</v>
      </c>
      <c r="Y143" s="8">
        <v>469.98</v>
      </c>
      <c r="Z143" s="8">
        <v>433.44</v>
      </c>
    </row>
    <row r="144" spans="1:26" x14ac:dyDescent="0.25">
      <c r="A144" s="4">
        <v>41411</v>
      </c>
      <c r="B144" s="5">
        <f>SUM('2013 - 8760 Load'!_Day503)</f>
        <v>11662.559999999998</v>
      </c>
      <c r="C144" s="8">
        <v>406.98</v>
      </c>
      <c r="D144" s="8">
        <v>398.58</v>
      </c>
      <c r="E144" s="8">
        <v>394.8</v>
      </c>
      <c r="F144" s="8">
        <v>402.78</v>
      </c>
      <c r="G144" s="8">
        <v>432.18</v>
      </c>
      <c r="H144" s="8">
        <v>486.78</v>
      </c>
      <c r="I144" s="8">
        <v>506.1</v>
      </c>
      <c r="J144" s="8">
        <v>495.18</v>
      </c>
      <c r="K144" s="8">
        <v>495.6</v>
      </c>
      <c r="L144" s="8">
        <v>497.28</v>
      </c>
      <c r="M144" s="8">
        <v>490.14</v>
      </c>
      <c r="N144" s="8">
        <v>499.38</v>
      </c>
      <c r="O144" s="8">
        <v>456.54</v>
      </c>
      <c r="P144" s="8">
        <v>456.12</v>
      </c>
      <c r="Q144" s="8">
        <v>463.26</v>
      </c>
      <c r="R144" s="8">
        <v>475.44</v>
      </c>
      <c r="S144" s="8">
        <v>486.78</v>
      </c>
      <c r="T144" s="8">
        <v>527.52</v>
      </c>
      <c r="U144" s="8">
        <v>553.55999999999995</v>
      </c>
      <c r="V144" s="8">
        <v>598.5</v>
      </c>
      <c r="W144" s="8">
        <v>600.17999999999995</v>
      </c>
      <c r="X144" s="8">
        <v>566.58000000000004</v>
      </c>
      <c r="Y144" s="8">
        <v>514.91999999999996</v>
      </c>
      <c r="Z144" s="8">
        <v>457.38</v>
      </c>
    </row>
    <row r="145" spans="1:26" x14ac:dyDescent="0.25">
      <c r="A145" s="4">
        <v>41412</v>
      </c>
      <c r="B145" s="5">
        <f>SUM('2013 - 8760 Load'!_Day504)</f>
        <v>12589.92</v>
      </c>
      <c r="C145" s="8">
        <v>423.36</v>
      </c>
      <c r="D145" s="8">
        <v>414.54</v>
      </c>
      <c r="E145" s="8">
        <v>401.94</v>
      </c>
      <c r="F145" s="8">
        <v>412.02</v>
      </c>
      <c r="G145" s="8">
        <v>419.58</v>
      </c>
      <c r="H145" s="8">
        <v>434.7</v>
      </c>
      <c r="I145" s="8">
        <v>481.74</v>
      </c>
      <c r="J145" s="8">
        <v>528.36</v>
      </c>
      <c r="K145" s="8">
        <v>539.70000000000005</v>
      </c>
      <c r="L145" s="8">
        <v>525</v>
      </c>
      <c r="M145" s="8">
        <v>550.20000000000005</v>
      </c>
      <c r="N145" s="8">
        <v>545.58000000000004</v>
      </c>
      <c r="O145" s="8">
        <v>524.58000000000004</v>
      </c>
      <c r="P145" s="8">
        <v>565.32000000000005</v>
      </c>
      <c r="Q145" s="8">
        <v>590.1</v>
      </c>
      <c r="R145" s="8">
        <v>574.14</v>
      </c>
      <c r="S145" s="8">
        <v>585.05999999999995</v>
      </c>
      <c r="T145" s="8">
        <v>600.17999999999995</v>
      </c>
      <c r="U145" s="8">
        <v>612.36</v>
      </c>
      <c r="V145" s="8">
        <v>635.04</v>
      </c>
      <c r="W145" s="8">
        <v>636.72</v>
      </c>
      <c r="X145" s="8">
        <v>580.86</v>
      </c>
      <c r="Y145" s="8">
        <v>535.08000000000004</v>
      </c>
      <c r="Z145" s="8">
        <v>473.76</v>
      </c>
    </row>
    <row r="146" spans="1:26" x14ac:dyDescent="0.25">
      <c r="A146" s="4">
        <v>41413</v>
      </c>
      <c r="B146" s="5">
        <f>SUM('2013 - 8760 Load'!_Day505)</f>
        <v>13075.86</v>
      </c>
      <c r="C146" s="8">
        <v>435.96</v>
      </c>
      <c r="D146" s="8">
        <v>426.72</v>
      </c>
      <c r="E146" s="8">
        <v>409.5</v>
      </c>
      <c r="F146" s="8">
        <v>409.92</v>
      </c>
      <c r="G146" s="8">
        <v>427.98</v>
      </c>
      <c r="H146" s="8">
        <v>446.04</v>
      </c>
      <c r="I146" s="8">
        <v>492.66</v>
      </c>
      <c r="J146" s="8">
        <v>544.74</v>
      </c>
      <c r="K146" s="8">
        <v>608.16</v>
      </c>
      <c r="L146" s="8">
        <v>620.76</v>
      </c>
      <c r="M146" s="8">
        <v>638.4</v>
      </c>
      <c r="N146" s="8">
        <v>653.52</v>
      </c>
      <c r="O146" s="8">
        <v>615.72</v>
      </c>
      <c r="P146" s="8">
        <v>588.41999999999996</v>
      </c>
      <c r="Q146" s="8">
        <v>606.48</v>
      </c>
      <c r="R146" s="8">
        <v>632.94000000000005</v>
      </c>
      <c r="S146" s="8">
        <v>620.76</v>
      </c>
      <c r="T146" s="8">
        <v>630.84</v>
      </c>
      <c r="U146" s="8">
        <v>614.88</v>
      </c>
      <c r="V146" s="8">
        <v>607.74</v>
      </c>
      <c r="W146" s="8">
        <v>589.67999999999995</v>
      </c>
      <c r="X146" s="8">
        <v>544.74</v>
      </c>
      <c r="Y146" s="8">
        <v>475.86</v>
      </c>
      <c r="Z146" s="8">
        <v>433.44</v>
      </c>
    </row>
    <row r="147" spans="1:26" x14ac:dyDescent="0.25">
      <c r="A147" s="4">
        <v>41414</v>
      </c>
      <c r="B147" s="5">
        <f>SUM('2013 - 8760 Load'!_Day506)</f>
        <v>11728.079999999998</v>
      </c>
      <c r="C147" s="8">
        <v>421.26</v>
      </c>
      <c r="D147" s="8">
        <v>408.24</v>
      </c>
      <c r="E147" s="8">
        <v>400.26</v>
      </c>
      <c r="F147" s="8">
        <v>404.04</v>
      </c>
      <c r="G147" s="8">
        <v>441.84</v>
      </c>
      <c r="H147" s="8">
        <v>484.26</v>
      </c>
      <c r="I147" s="8">
        <v>494.76</v>
      </c>
      <c r="J147" s="8">
        <v>502.32</v>
      </c>
      <c r="K147" s="8">
        <v>490.14</v>
      </c>
      <c r="L147" s="8">
        <v>500.22</v>
      </c>
      <c r="M147" s="8">
        <v>490.56</v>
      </c>
      <c r="N147" s="8">
        <v>484.68</v>
      </c>
      <c r="O147" s="8">
        <v>473.76</v>
      </c>
      <c r="P147" s="8">
        <v>466.62</v>
      </c>
      <c r="Q147" s="8">
        <v>477.12</v>
      </c>
      <c r="R147" s="8">
        <v>494.76</v>
      </c>
      <c r="S147" s="8">
        <v>527.52</v>
      </c>
      <c r="T147" s="8">
        <v>525</v>
      </c>
      <c r="U147" s="8">
        <v>564.05999999999995</v>
      </c>
      <c r="V147" s="8">
        <v>583.79999999999995</v>
      </c>
      <c r="W147" s="8">
        <v>584.22</v>
      </c>
      <c r="X147" s="8">
        <v>555.66</v>
      </c>
      <c r="Y147" s="8">
        <v>493.5</v>
      </c>
      <c r="Z147" s="8">
        <v>459.48</v>
      </c>
    </row>
    <row r="148" spans="1:26" x14ac:dyDescent="0.25">
      <c r="A148" s="4">
        <v>41415</v>
      </c>
      <c r="B148" s="5">
        <f>SUM('2013 - 8760 Load'!_Day507)</f>
        <v>12548.34</v>
      </c>
      <c r="C148" s="8">
        <v>430.92</v>
      </c>
      <c r="D148" s="8">
        <v>401.94</v>
      </c>
      <c r="E148" s="8">
        <v>395.22</v>
      </c>
      <c r="F148" s="8">
        <v>405.3</v>
      </c>
      <c r="G148" s="8">
        <v>427.14</v>
      </c>
      <c r="H148" s="8">
        <v>475.02</v>
      </c>
      <c r="I148" s="8">
        <v>482.58</v>
      </c>
      <c r="J148" s="8">
        <v>467.04</v>
      </c>
      <c r="K148" s="8">
        <v>469.56</v>
      </c>
      <c r="L148" s="8">
        <v>485.1</v>
      </c>
      <c r="M148" s="8">
        <v>507.78</v>
      </c>
      <c r="N148" s="8">
        <v>515.34</v>
      </c>
      <c r="O148" s="8">
        <v>539.70000000000005</v>
      </c>
      <c r="P148" s="8">
        <v>531.29999999999995</v>
      </c>
      <c r="Q148" s="8">
        <v>539.70000000000005</v>
      </c>
      <c r="R148" s="8">
        <v>577.5</v>
      </c>
      <c r="S148" s="8">
        <v>607.32000000000005</v>
      </c>
      <c r="T148" s="8">
        <v>634.62</v>
      </c>
      <c r="U148" s="8">
        <v>642.6</v>
      </c>
      <c r="V148" s="8">
        <v>672</v>
      </c>
      <c r="W148" s="8">
        <v>679.56</v>
      </c>
      <c r="X148" s="8">
        <v>633.36</v>
      </c>
      <c r="Y148" s="8">
        <v>537.17999999999995</v>
      </c>
      <c r="Z148" s="8">
        <v>490.56</v>
      </c>
    </row>
    <row r="149" spans="1:26" x14ac:dyDescent="0.25">
      <c r="A149" s="4">
        <v>41416</v>
      </c>
      <c r="B149" s="5">
        <f>SUM('2013 - 8760 Load'!_Day508)</f>
        <v>12954.06</v>
      </c>
      <c r="C149" s="8">
        <v>462.84</v>
      </c>
      <c r="D149" s="8">
        <v>445.2</v>
      </c>
      <c r="E149" s="8">
        <v>429.24</v>
      </c>
      <c r="F149" s="8">
        <v>426.3</v>
      </c>
      <c r="G149" s="8">
        <v>446.88</v>
      </c>
      <c r="H149" s="8">
        <v>493.08</v>
      </c>
      <c r="I149" s="8">
        <v>521.64</v>
      </c>
      <c r="J149" s="8">
        <v>500.22</v>
      </c>
      <c r="K149" s="8">
        <v>501.9</v>
      </c>
      <c r="L149" s="8">
        <v>521.64</v>
      </c>
      <c r="M149" s="8">
        <v>535.91999999999996</v>
      </c>
      <c r="N149" s="8">
        <v>536.34</v>
      </c>
      <c r="O149" s="8">
        <v>512.82000000000005</v>
      </c>
      <c r="P149" s="8">
        <v>519.54</v>
      </c>
      <c r="Q149" s="8">
        <v>537.17999999999995</v>
      </c>
      <c r="R149" s="8">
        <v>602.28</v>
      </c>
      <c r="S149" s="8">
        <v>616.14</v>
      </c>
      <c r="T149" s="8">
        <v>627.48</v>
      </c>
      <c r="U149" s="8">
        <v>662.76</v>
      </c>
      <c r="V149" s="8">
        <v>686.7</v>
      </c>
      <c r="W149" s="8">
        <v>688.38</v>
      </c>
      <c r="X149" s="8">
        <v>625.38</v>
      </c>
      <c r="Y149" s="8">
        <v>560.28</v>
      </c>
      <c r="Z149" s="8">
        <v>493.92</v>
      </c>
    </row>
    <row r="150" spans="1:26" x14ac:dyDescent="0.25">
      <c r="A150" s="4">
        <v>41417</v>
      </c>
      <c r="B150" s="5">
        <f>SUM('2013 - 8760 Load'!_Day509)</f>
        <v>12647.040000000003</v>
      </c>
      <c r="C150" s="8">
        <v>464.1</v>
      </c>
      <c r="D150" s="8">
        <v>439.74</v>
      </c>
      <c r="E150" s="8">
        <v>433.44</v>
      </c>
      <c r="F150" s="8">
        <v>432.6</v>
      </c>
      <c r="G150" s="8">
        <v>449.82</v>
      </c>
      <c r="H150" s="8">
        <v>490.14</v>
      </c>
      <c r="I150" s="8">
        <v>501.06</v>
      </c>
      <c r="J150" s="8">
        <v>503.16</v>
      </c>
      <c r="K150" s="8">
        <v>549.78</v>
      </c>
      <c r="L150" s="8">
        <v>531.72</v>
      </c>
      <c r="M150" s="8">
        <v>546.84</v>
      </c>
      <c r="N150" s="8">
        <v>532.14</v>
      </c>
      <c r="O150" s="8">
        <v>517.02</v>
      </c>
      <c r="P150" s="8">
        <v>521.64</v>
      </c>
      <c r="Q150" s="8">
        <v>540.54</v>
      </c>
      <c r="R150" s="8">
        <v>574.55999999999995</v>
      </c>
      <c r="S150" s="8">
        <v>613.62</v>
      </c>
      <c r="T150" s="8">
        <v>585.9</v>
      </c>
      <c r="U150" s="8">
        <v>590.94000000000005</v>
      </c>
      <c r="V150" s="8">
        <v>633.36</v>
      </c>
      <c r="W150" s="8">
        <v>630.41999999999996</v>
      </c>
      <c r="X150" s="8">
        <v>583.79999999999995</v>
      </c>
      <c r="Y150" s="8">
        <v>519.12</v>
      </c>
      <c r="Z150" s="8">
        <v>461.58</v>
      </c>
    </row>
    <row r="151" spans="1:26" x14ac:dyDescent="0.25">
      <c r="A151" s="4">
        <v>41418</v>
      </c>
      <c r="B151" s="5">
        <f>SUM('2013 - 8760 Load'!_Day510)</f>
        <v>14098.560000000001</v>
      </c>
      <c r="C151" s="8">
        <v>431.34</v>
      </c>
      <c r="D151" s="8">
        <v>425.04</v>
      </c>
      <c r="E151" s="8">
        <v>417.06</v>
      </c>
      <c r="F151" s="8">
        <v>429.66</v>
      </c>
      <c r="G151" s="8">
        <v>443.1</v>
      </c>
      <c r="H151" s="8">
        <v>480.06</v>
      </c>
      <c r="I151" s="8">
        <v>506.52</v>
      </c>
      <c r="J151" s="8">
        <v>515.34</v>
      </c>
      <c r="K151" s="8">
        <v>535.5</v>
      </c>
      <c r="L151" s="8">
        <v>554.4</v>
      </c>
      <c r="M151" s="8">
        <v>581.28</v>
      </c>
      <c r="N151" s="8">
        <v>560.28</v>
      </c>
      <c r="O151" s="8">
        <v>574.14</v>
      </c>
      <c r="P151" s="8">
        <v>595.55999999999995</v>
      </c>
      <c r="Q151" s="8">
        <v>630.84</v>
      </c>
      <c r="R151" s="8">
        <v>674.94</v>
      </c>
      <c r="S151" s="8">
        <v>682.92</v>
      </c>
      <c r="T151" s="8">
        <v>724.92</v>
      </c>
      <c r="U151" s="8">
        <v>753.9</v>
      </c>
      <c r="V151" s="8">
        <v>779.94</v>
      </c>
      <c r="W151" s="8">
        <v>787.5</v>
      </c>
      <c r="X151" s="8">
        <v>745.08</v>
      </c>
      <c r="Y151" s="8">
        <v>675.36</v>
      </c>
      <c r="Z151" s="8">
        <v>593.88</v>
      </c>
    </row>
    <row r="152" spans="1:26" x14ac:dyDescent="0.25">
      <c r="A152" s="4">
        <v>41419</v>
      </c>
      <c r="B152" s="5">
        <f>SUM('2013 - 8760 Load'!_Day511)</f>
        <v>16986.480000000003</v>
      </c>
      <c r="C152" s="8">
        <v>570.78</v>
      </c>
      <c r="D152" s="8">
        <v>530.46</v>
      </c>
      <c r="E152" s="8">
        <v>510.3</v>
      </c>
      <c r="F152" s="8">
        <v>511.56</v>
      </c>
      <c r="G152" s="8">
        <v>522.48</v>
      </c>
      <c r="H152" s="8">
        <v>555.66</v>
      </c>
      <c r="I152" s="8">
        <v>640.91999999999996</v>
      </c>
      <c r="J152" s="8">
        <v>713.58</v>
      </c>
      <c r="K152" s="8">
        <v>745.08</v>
      </c>
      <c r="L152" s="8">
        <v>761.46</v>
      </c>
      <c r="M152" s="8">
        <v>734.58</v>
      </c>
      <c r="N152" s="8">
        <v>732.06</v>
      </c>
      <c r="O152" s="8">
        <v>763.56</v>
      </c>
      <c r="P152" s="8">
        <v>771.54</v>
      </c>
      <c r="Q152" s="8">
        <v>790.86</v>
      </c>
      <c r="R152" s="8">
        <v>832.02</v>
      </c>
      <c r="S152" s="8">
        <v>822.78</v>
      </c>
      <c r="T152" s="8">
        <v>771.96</v>
      </c>
      <c r="U152" s="8">
        <v>798</v>
      </c>
      <c r="V152" s="8">
        <v>857.22</v>
      </c>
      <c r="W152" s="8">
        <v>847.14</v>
      </c>
      <c r="X152" s="8">
        <v>795.48</v>
      </c>
      <c r="Y152" s="8">
        <v>725.76</v>
      </c>
      <c r="Z152" s="8">
        <v>681.24</v>
      </c>
    </row>
    <row r="153" spans="1:26" x14ac:dyDescent="0.25">
      <c r="A153" s="4">
        <v>41420</v>
      </c>
      <c r="B153" s="5">
        <f>SUM('2013 - 8760 Load'!_Day512)</f>
        <v>16261.140000000001</v>
      </c>
      <c r="C153" s="8">
        <v>619.5</v>
      </c>
      <c r="D153" s="8">
        <v>586.32000000000005</v>
      </c>
      <c r="E153" s="8">
        <v>580.44000000000005</v>
      </c>
      <c r="F153" s="8">
        <v>579.6</v>
      </c>
      <c r="G153" s="8">
        <v>569.52</v>
      </c>
      <c r="H153" s="8">
        <v>588.41999999999996</v>
      </c>
      <c r="I153" s="8">
        <v>629.16</v>
      </c>
      <c r="J153" s="8">
        <v>698.04</v>
      </c>
      <c r="K153" s="8">
        <v>752.22</v>
      </c>
      <c r="L153" s="8">
        <v>732.9</v>
      </c>
      <c r="M153" s="8">
        <v>726.18</v>
      </c>
      <c r="N153" s="8">
        <v>719.04</v>
      </c>
      <c r="O153" s="8">
        <v>685.86</v>
      </c>
      <c r="P153" s="8">
        <v>672</v>
      </c>
      <c r="Q153" s="8">
        <v>657.72</v>
      </c>
      <c r="R153" s="8">
        <v>658.56</v>
      </c>
      <c r="S153" s="8">
        <v>717.36</v>
      </c>
      <c r="T153" s="8">
        <v>740.88</v>
      </c>
      <c r="U153" s="8">
        <v>727.44</v>
      </c>
      <c r="V153" s="8">
        <v>759.36</v>
      </c>
      <c r="W153" s="8">
        <v>797.16</v>
      </c>
      <c r="X153" s="8">
        <v>766.5</v>
      </c>
      <c r="Y153" s="8">
        <v>696.36</v>
      </c>
      <c r="Z153" s="8">
        <v>600.6</v>
      </c>
    </row>
    <row r="154" spans="1:26" x14ac:dyDescent="0.25">
      <c r="A154" s="4">
        <v>41421</v>
      </c>
      <c r="B154" s="5">
        <f>SUM('2013 - 8760 Load'!_Day513)</f>
        <v>14474.460000000003</v>
      </c>
      <c r="C154" s="8">
        <v>561.96</v>
      </c>
      <c r="D154" s="8">
        <v>552.29999999999995</v>
      </c>
      <c r="E154" s="8">
        <v>540.12</v>
      </c>
      <c r="F154" s="8">
        <v>542.64</v>
      </c>
      <c r="G154" s="8">
        <v>543.48</v>
      </c>
      <c r="H154" s="8">
        <v>583.79999999999995</v>
      </c>
      <c r="I154" s="8">
        <v>634.62</v>
      </c>
      <c r="J154" s="8">
        <v>700.14</v>
      </c>
      <c r="K154" s="8">
        <v>703.92</v>
      </c>
      <c r="L154" s="8">
        <v>700.98</v>
      </c>
      <c r="M154" s="8">
        <v>692.16</v>
      </c>
      <c r="N154" s="8">
        <v>649.32000000000005</v>
      </c>
      <c r="O154" s="8">
        <v>616.98</v>
      </c>
      <c r="P154" s="8">
        <v>584.22</v>
      </c>
      <c r="Q154" s="8">
        <v>572.04</v>
      </c>
      <c r="R154" s="8">
        <v>583.79999999999995</v>
      </c>
      <c r="S154" s="8">
        <v>593.04</v>
      </c>
      <c r="T154" s="8">
        <v>621.6</v>
      </c>
      <c r="U154" s="8">
        <v>623.28</v>
      </c>
      <c r="V154" s="8">
        <v>645.54</v>
      </c>
      <c r="W154" s="8">
        <v>658.98</v>
      </c>
      <c r="X154" s="8">
        <v>580.44000000000005</v>
      </c>
      <c r="Y154" s="8">
        <v>516.6</v>
      </c>
      <c r="Z154" s="8">
        <v>472.5</v>
      </c>
    </row>
    <row r="155" spans="1:26" x14ac:dyDescent="0.25">
      <c r="A155" s="4">
        <v>41422</v>
      </c>
      <c r="B155" s="5">
        <f>SUM('2013 - 8760 Load'!_Day514)</f>
        <v>13265.7</v>
      </c>
      <c r="C155" s="8">
        <v>443.94</v>
      </c>
      <c r="D155" s="8">
        <v>428.4</v>
      </c>
      <c r="E155" s="8">
        <v>426.3</v>
      </c>
      <c r="F155" s="8">
        <v>431.76</v>
      </c>
      <c r="G155" s="8">
        <v>472.08</v>
      </c>
      <c r="H155" s="8">
        <v>505.26</v>
      </c>
      <c r="I155" s="8">
        <v>528.36</v>
      </c>
      <c r="J155" s="8">
        <v>526.26</v>
      </c>
      <c r="K155" s="8">
        <v>516.6</v>
      </c>
      <c r="L155" s="8">
        <v>544.74</v>
      </c>
      <c r="M155" s="8">
        <v>565.32000000000005</v>
      </c>
      <c r="N155" s="8">
        <v>566.16</v>
      </c>
      <c r="O155" s="8">
        <v>559.02</v>
      </c>
      <c r="P155" s="8">
        <v>592.20000000000005</v>
      </c>
      <c r="Q155" s="8">
        <v>614.04</v>
      </c>
      <c r="R155" s="8">
        <v>637.98</v>
      </c>
      <c r="S155" s="8">
        <v>682.5</v>
      </c>
      <c r="T155" s="8">
        <v>684.6</v>
      </c>
      <c r="U155" s="8">
        <v>674.1</v>
      </c>
      <c r="V155" s="8">
        <v>669.06</v>
      </c>
      <c r="W155" s="8">
        <v>643.86</v>
      </c>
      <c r="X155" s="8">
        <v>569.94000000000005</v>
      </c>
      <c r="Y155" s="8">
        <v>516.17999999999995</v>
      </c>
      <c r="Z155" s="8">
        <v>467.04</v>
      </c>
    </row>
    <row r="156" spans="1:26" x14ac:dyDescent="0.25">
      <c r="A156" s="4">
        <v>41423</v>
      </c>
      <c r="B156" s="5">
        <f>SUM('2013 - 8760 Load'!_Day515)</f>
        <v>12631.920000000004</v>
      </c>
      <c r="C156" s="8">
        <v>446.46</v>
      </c>
      <c r="D156" s="8">
        <v>427.98</v>
      </c>
      <c r="E156" s="8">
        <v>425.88</v>
      </c>
      <c r="F156" s="8">
        <v>427.14</v>
      </c>
      <c r="G156" s="8">
        <v>467.04</v>
      </c>
      <c r="H156" s="8">
        <v>503.58</v>
      </c>
      <c r="I156" s="8">
        <v>512.82000000000005</v>
      </c>
      <c r="J156" s="8">
        <v>498.12</v>
      </c>
      <c r="K156" s="8">
        <v>501.48</v>
      </c>
      <c r="L156" s="8">
        <v>506.52</v>
      </c>
      <c r="M156" s="8">
        <v>523.74</v>
      </c>
      <c r="N156" s="8">
        <v>515.76</v>
      </c>
      <c r="O156" s="8">
        <v>516.17999999999995</v>
      </c>
      <c r="P156" s="8">
        <v>504.84</v>
      </c>
      <c r="Q156" s="8">
        <v>538.02</v>
      </c>
      <c r="R156" s="8">
        <v>595.55999999999995</v>
      </c>
      <c r="S156" s="8">
        <v>632.52</v>
      </c>
      <c r="T156" s="8">
        <v>633.36</v>
      </c>
      <c r="U156" s="8">
        <v>613.20000000000005</v>
      </c>
      <c r="V156" s="8">
        <v>613.62</v>
      </c>
      <c r="W156" s="8">
        <v>631.67999999999995</v>
      </c>
      <c r="X156" s="8">
        <v>585.9</v>
      </c>
      <c r="Y156" s="8">
        <v>525.41999999999996</v>
      </c>
      <c r="Z156" s="8">
        <v>485.1</v>
      </c>
    </row>
    <row r="157" spans="1:26" x14ac:dyDescent="0.25">
      <c r="A157" s="4">
        <v>41424</v>
      </c>
      <c r="B157" s="5">
        <f>SUM('2013 - 8760 Load'!_Day516)</f>
        <v>13825.56</v>
      </c>
      <c r="C157" s="8">
        <v>460.32</v>
      </c>
      <c r="D157" s="8">
        <v>443.52</v>
      </c>
      <c r="E157" s="8">
        <v>430.5</v>
      </c>
      <c r="F157" s="8">
        <v>427.14</v>
      </c>
      <c r="G157" s="8">
        <v>449.4</v>
      </c>
      <c r="H157" s="8">
        <v>496.02</v>
      </c>
      <c r="I157" s="8">
        <v>510.72</v>
      </c>
      <c r="J157" s="8">
        <v>506.94</v>
      </c>
      <c r="K157" s="8">
        <v>534.66</v>
      </c>
      <c r="L157" s="8">
        <v>544.32000000000005</v>
      </c>
      <c r="M157" s="8">
        <v>541.38</v>
      </c>
      <c r="N157" s="8">
        <v>599.34</v>
      </c>
      <c r="O157" s="8">
        <v>607.74</v>
      </c>
      <c r="P157" s="8">
        <v>642.6</v>
      </c>
      <c r="Q157" s="8">
        <v>647.64</v>
      </c>
      <c r="R157" s="8">
        <v>679.56</v>
      </c>
      <c r="S157" s="8">
        <v>726.6</v>
      </c>
      <c r="T157" s="8">
        <v>714</v>
      </c>
      <c r="U157" s="8">
        <v>701.82</v>
      </c>
      <c r="V157" s="8">
        <v>689.64</v>
      </c>
      <c r="W157" s="8">
        <v>732.9</v>
      </c>
      <c r="X157" s="8">
        <v>646.79999999999995</v>
      </c>
      <c r="Y157" s="8">
        <v>573.72</v>
      </c>
      <c r="Z157" s="8">
        <v>518.28</v>
      </c>
    </row>
    <row r="158" spans="1:26" x14ac:dyDescent="0.25">
      <c r="A158" s="4">
        <v>41425</v>
      </c>
      <c r="B158" s="5">
        <f>SUM('2013 - 8760 Load'!_Day517)</f>
        <v>15207.78</v>
      </c>
      <c r="C158" s="8">
        <v>481.74</v>
      </c>
      <c r="D158" s="8">
        <v>464.52</v>
      </c>
      <c r="E158" s="8">
        <v>456.12</v>
      </c>
      <c r="F158" s="8">
        <v>450.66</v>
      </c>
      <c r="G158" s="8">
        <v>472.08</v>
      </c>
      <c r="H158" s="8">
        <v>519.12</v>
      </c>
      <c r="I158" s="8">
        <v>538.44000000000005</v>
      </c>
      <c r="J158" s="8">
        <v>550.62</v>
      </c>
      <c r="K158" s="8">
        <v>561.54</v>
      </c>
      <c r="L158" s="8">
        <v>601.44000000000005</v>
      </c>
      <c r="M158" s="8">
        <v>658.56</v>
      </c>
      <c r="N158" s="8">
        <v>666.96</v>
      </c>
      <c r="O158" s="8">
        <v>679.14</v>
      </c>
      <c r="P158" s="8">
        <v>720.3</v>
      </c>
      <c r="Q158" s="8">
        <v>753.48</v>
      </c>
      <c r="R158" s="8">
        <v>779.94</v>
      </c>
      <c r="S158" s="8">
        <v>778.26</v>
      </c>
      <c r="T158" s="8">
        <v>777.42</v>
      </c>
      <c r="U158" s="8">
        <v>778.68</v>
      </c>
      <c r="V158" s="8">
        <v>784.14</v>
      </c>
      <c r="W158" s="8">
        <v>804.72</v>
      </c>
      <c r="X158" s="8">
        <v>722.4</v>
      </c>
      <c r="Y158" s="8">
        <v>638.4</v>
      </c>
      <c r="Z158" s="8">
        <v>569.1</v>
      </c>
    </row>
    <row r="159" spans="1:26" x14ac:dyDescent="0.25">
      <c r="A159" s="4">
        <v>41426</v>
      </c>
      <c r="B159" s="5">
        <f>SUM('2013 - 8760 Load'!_Day518)</f>
        <v>16057.439999999999</v>
      </c>
      <c r="C159" s="8">
        <v>527.1</v>
      </c>
      <c r="D159" s="8">
        <v>499.8</v>
      </c>
      <c r="E159" s="8">
        <v>488.04</v>
      </c>
      <c r="F159" s="8">
        <v>483.84</v>
      </c>
      <c r="G159" s="8">
        <v>477.96</v>
      </c>
      <c r="H159" s="8">
        <v>499.38</v>
      </c>
      <c r="I159" s="8">
        <v>561.96</v>
      </c>
      <c r="J159" s="8">
        <v>614.46</v>
      </c>
      <c r="K159" s="8">
        <v>648.9</v>
      </c>
      <c r="L159" s="8">
        <v>691.74</v>
      </c>
      <c r="M159" s="8">
        <v>744.24</v>
      </c>
      <c r="N159" s="8">
        <v>754.32</v>
      </c>
      <c r="O159" s="8">
        <v>772.38</v>
      </c>
      <c r="P159" s="8">
        <v>791.28</v>
      </c>
      <c r="Q159" s="8">
        <v>765.24</v>
      </c>
      <c r="R159" s="8">
        <v>747.6</v>
      </c>
      <c r="S159" s="8">
        <v>759.36</v>
      </c>
      <c r="T159" s="8">
        <v>763.56</v>
      </c>
      <c r="U159" s="8">
        <v>762.3</v>
      </c>
      <c r="V159" s="8">
        <v>814.8</v>
      </c>
      <c r="W159" s="8">
        <v>832.86</v>
      </c>
      <c r="X159" s="8">
        <v>764.82</v>
      </c>
      <c r="Y159" s="8">
        <v>680.82</v>
      </c>
      <c r="Z159" s="8">
        <v>610.67999999999995</v>
      </c>
    </row>
    <row r="160" spans="1:26" x14ac:dyDescent="0.25">
      <c r="A160" s="4">
        <v>41427</v>
      </c>
      <c r="B160" s="5">
        <f>SUM('2013 - 8760 Load'!_Day519)</f>
        <v>15632.819999999998</v>
      </c>
      <c r="C160" s="8">
        <v>561.12</v>
      </c>
      <c r="D160" s="8">
        <v>536.34</v>
      </c>
      <c r="E160" s="8">
        <v>518.70000000000005</v>
      </c>
      <c r="F160" s="8">
        <v>504.84</v>
      </c>
      <c r="G160" s="8">
        <v>503.58</v>
      </c>
      <c r="H160" s="8">
        <v>522.48</v>
      </c>
      <c r="I160" s="8">
        <v>579.6</v>
      </c>
      <c r="J160" s="8">
        <v>630.84</v>
      </c>
      <c r="K160" s="8">
        <v>677.88</v>
      </c>
      <c r="L160" s="8">
        <v>701.4</v>
      </c>
      <c r="M160" s="8">
        <v>736.26</v>
      </c>
      <c r="N160" s="8">
        <v>742.14</v>
      </c>
      <c r="O160" s="8">
        <v>734.58</v>
      </c>
      <c r="P160" s="8">
        <v>721.14</v>
      </c>
      <c r="Q160" s="8">
        <v>710.22</v>
      </c>
      <c r="R160" s="8">
        <v>729.54</v>
      </c>
      <c r="S160" s="8">
        <v>763.98</v>
      </c>
      <c r="T160" s="8">
        <v>753.9</v>
      </c>
      <c r="U160" s="8">
        <v>770.7</v>
      </c>
      <c r="V160" s="8">
        <v>741.3</v>
      </c>
      <c r="W160" s="8">
        <v>742.56</v>
      </c>
      <c r="X160" s="8">
        <v>649.74</v>
      </c>
      <c r="Y160" s="8">
        <v>574.14</v>
      </c>
      <c r="Z160" s="8">
        <v>525.84</v>
      </c>
    </row>
    <row r="161" spans="1:26" x14ac:dyDescent="0.25">
      <c r="A161" s="4">
        <v>41428</v>
      </c>
      <c r="B161" s="5">
        <f>SUM('2013 - 8760 Load'!_Day520)</f>
        <v>13496.7</v>
      </c>
      <c r="C161" s="8">
        <v>500.22</v>
      </c>
      <c r="D161" s="8">
        <v>483</v>
      </c>
      <c r="E161" s="8">
        <v>475.86</v>
      </c>
      <c r="F161" s="8">
        <v>474.18</v>
      </c>
      <c r="G161" s="8">
        <v>496.86</v>
      </c>
      <c r="H161" s="8">
        <v>534.66</v>
      </c>
      <c r="I161" s="8">
        <v>551.04</v>
      </c>
      <c r="J161" s="8">
        <v>554.82000000000005</v>
      </c>
      <c r="K161" s="8">
        <v>554.4</v>
      </c>
      <c r="L161" s="8">
        <v>555.66</v>
      </c>
      <c r="M161" s="8">
        <v>568.67999999999995</v>
      </c>
      <c r="N161" s="8">
        <v>577.91999999999996</v>
      </c>
      <c r="O161" s="8">
        <v>584.22</v>
      </c>
      <c r="P161" s="8">
        <v>570.78</v>
      </c>
      <c r="Q161" s="8">
        <v>583.79999999999995</v>
      </c>
      <c r="R161" s="8">
        <v>591.78</v>
      </c>
      <c r="S161" s="8">
        <v>653.1</v>
      </c>
      <c r="T161" s="8">
        <v>646.79999999999995</v>
      </c>
      <c r="U161" s="8">
        <v>650.16</v>
      </c>
      <c r="V161" s="8">
        <v>645.12</v>
      </c>
      <c r="W161" s="8">
        <v>636.72</v>
      </c>
      <c r="X161" s="8">
        <v>598.08000000000004</v>
      </c>
      <c r="Y161" s="8">
        <v>529.20000000000005</v>
      </c>
      <c r="Z161" s="8">
        <v>479.64</v>
      </c>
    </row>
    <row r="162" spans="1:26" x14ac:dyDescent="0.25">
      <c r="A162" s="4">
        <v>41429</v>
      </c>
      <c r="B162" s="5">
        <f>SUM('2013 - 8760 Load'!_Day521)</f>
        <v>12185.459999999997</v>
      </c>
      <c r="C162" s="8">
        <v>456.12</v>
      </c>
      <c r="D162" s="8">
        <v>439.32</v>
      </c>
      <c r="E162" s="8">
        <v>431.34</v>
      </c>
      <c r="F162" s="8">
        <v>435.54</v>
      </c>
      <c r="G162" s="8">
        <v>446.88</v>
      </c>
      <c r="H162" s="8">
        <v>480.48</v>
      </c>
      <c r="I162" s="8">
        <v>514.08000000000004</v>
      </c>
      <c r="J162" s="8">
        <v>496.02</v>
      </c>
      <c r="K162" s="8">
        <v>500.22</v>
      </c>
      <c r="L162" s="8">
        <v>504.42</v>
      </c>
      <c r="M162" s="8">
        <v>514.91999999999996</v>
      </c>
      <c r="N162" s="8">
        <v>492.24</v>
      </c>
      <c r="O162" s="8">
        <v>476.28</v>
      </c>
      <c r="P162" s="8">
        <v>497.7</v>
      </c>
      <c r="Q162" s="8">
        <v>507.36</v>
      </c>
      <c r="R162" s="8">
        <v>508.2</v>
      </c>
      <c r="S162" s="8">
        <v>563.22</v>
      </c>
      <c r="T162" s="8">
        <v>589.26</v>
      </c>
      <c r="U162" s="8">
        <v>572.88</v>
      </c>
      <c r="V162" s="8">
        <v>603.96</v>
      </c>
      <c r="W162" s="8">
        <v>614.46</v>
      </c>
      <c r="X162" s="8">
        <v>587.58000000000004</v>
      </c>
      <c r="Y162" s="8">
        <v>493.5</v>
      </c>
      <c r="Z162" s="8">
        <v>459.48</v>
      </c>
    </row>
    <row r="163" spans="1:26" x14ac:dyDescent="0.25">
      <c r="A163" s="4">
        <v>41430</v>
      </c>
      <c r="B163" s="5">
        <f>SUM('2013 - 8760 Load'!_Day522)</f>
        <v>12265.259999999998</v>
      </c>
      <c r="C163" s="8">
        <v>429.66</v>
      </c>
      <c r="D163" s="8">
        <v>427.56</v>
      </c>
      <c r="E163" s="8">
        <v>430.92</v>
      </c>
      <c r="F163" s="8">
        <v>429.24</v>
      </c>
      <c r="G163" s="8">
        <v>452.76</v>
      </c>
      <c r="H163" s="8">
        <v>509.46</v>
      </c>
      <c r="I163" s="8">
        <v>520.38</v>
      </c>
      <c r="J163" s="8">
        <v>506.52</v>
      </c>
      <c r="K163" s="8">
        <v>492.66</v>
      </c>
      <c r="L163" s="8">
        <v>472.92</v>
      </c>
      <c r="M163" s="8">
        <v>489.3</v>
      </c>
      <c r="N163" s="8">
        <v>497.28</v>
      </c>
      <c r="O163" s="8">
        <v>496.86</v>
      </c>
      <c r="P163" s="8">
        <v>498.12</v>
      </c>
      <c r="Q163" s="8">
        <v>515.76</v>
      </c>
      <c r="R163" s="8">
        <v>517.02</v>
      </c>
      <c r="S163" s="8">
        <v>569.52</v>
      </c>
      <c r="T163" s="8">
        <v>584.64</v>
      </c>
      <c r="U163" s="8">
        <v>619.08000000000004</v>
      </c>
      <c r="V163" s="8">
        <v>620.76</v>
      </c>
      <c r="W163" s="8">
        <v>648.05999999999995</v>
      </c>
      <c r="X163" s="8">
        <v>568.67999999999995</v>
      </c>
      <c r="Y163" s="8">
        <v>499.38</v>
      </c>
      <c r="Z163" s="8">
        <v>468.72</v>
      </c>
    </row>
    <row r="164" spans="1:26" x14ac:dyDescent="0.25">
      <c r="A164" s="4">
        <v>41431</v>
      </c>
      <c r="B164" s="5">
        <f>SUM('2013 - 8760 Load'!_Day523)</f>
        <v>12718.44</v>
      </c>
      <c r="C164" s="8">
        <v>439.32</v>
      </c>
      <c r="D164" s="8">
        <v>425.04</v>
      </c>
      <c r="E164" s="8">
        <v>419.16</v>
      </c>
      <c r="F164" s="8">
        <v>425.04</v>
      </c>
      <c r="G164" s="8">
        <v>443.52</v>
      </c>
      <c r="H164" s="8">
        <v>502.74</v>
      </c>
      <c r="I164" s="8">
        <v>559.02</v>
      </c>
      <c r="J164" s="8">
        <v>525.41999999999996</v>
      </c>
      <c r="K164" s="8">
        <v>531.72</v>
      </c>
      <c r="L164" s="8">
        <v>512.4</v>
      </c>
      <c r="M164" s="8">
        <v>509.88</v>
      </c>
      <c r="N164" s="8">
        <v>524.58000000000004</v>
      </c>
      <c r="O164" s="8">
        <v>506.1</v>
      </c>
      <c r="P164" s="8">
        <v>549.36</v>
      </c>
      <c r="Q164" s="8">
        <v>538.44000000000005</v>
      </c>
      <c r="R164" s="8">
        <v>565.74</v>
      </c>
      <c r="S164" s="8">
        <v>606.48</v>
      </c>
      <c r="T164" s="8">
        <v>620.34</v>
      </c>
      <c r="U164" s="8">
        <v>624.96</v>
      </c>
      <c r="V164" s="8">
        <v>665.28</v>
      </c>
      <c r="W164" s="8">
        <v>652.26</v>
      </c>
      <c r="X164" s="8">
        <v>580.44000000000005</v>
      </c>
      <c r="Y164" s="8">
        <v>515.76</v>
      </c>
      <c r="Z164" s="8">
        <v>475.44</v>
      </c>
    </row>
    <row r="165" spans="1:26" x14ac:dyDescent="0.25">
      <c r="A165" s="4">
        <v>41432</v>
      </c>
      <c r="B165" s="5">
        <f>SUM('2013 - 8760 Load'!_Day524)</f>
        <v>13202.279999999999</v>
      </c>
      <c r="C165" s="8">
        <v>454.86</v>
      </c>
      <c r="D165" s="8">
        <v>440.16</v>
      </c>
      <c r="E165" s="8">
        <v>431.34</v>
      </c>
      <c r="F165" s="8">
        <v>435.96</v>
      </c>
      <c r="G165" s="8">
        <v>462</v>
      </c>
      <c r="H165" s="8">
        <v>522.9</v>
      </c>
      <c r="I165" s="8">
        <v>530.04</v>
      </c>
      <c r="J165" s="8">
        <v>533.82000000000005</v>
      </c>
      <c r="K165" s="8">
        <v>545.58000000000004</v>
      </c>
      <c r="L165" s="8">
        <v>587.58000000000004</v>
      </c>
      <c r="M165" s="8">
        <v>577.91999999999996</v>
      </c>
      <c r="N165" s="8">
        <v>556.5</v>
      </c>
      <c r="O165" s="8">
        <v>545.16</v>
      </c>
      <c r="P165" s="8">
        <v>561.96</v>
      </c>
      <c r="Q165" s="8">
        <v>572.88</v>
      </c>
      <c r="R165" s="8">
        <v>591.78</v>
      </c>
      <c r="S165" s="8">
        <v>635.04</v>
      </c>
      <c r="T165" s="8">
        <v>641.34</v>
      </c>
      <c r="U165" s="8">
        <v>643.02</v>
      </c>
      <c r="V165" s="8">
        <v>625.79999999999995</v>
      </c>
      <c r="W165" s="8">
        <v>641.76</v>
      </c>
      <c r="X165" s="8">
        <v>605.22</v>
      </c>
      <c r="Y165" s="8">
        <v>556.91999999999996</v>
      </c>
      <c r="Z165" s="8">
        <v>502.74</v>
      </c>
    </row>
    <row r="166" spans="1:26" x14ac:dyDescent="0.25">
      <c r="A166" s="4">
        <v>41433</v>
      </c>
      <c r="B166" s="5">
        <f>SUM('2013 - 8760 Load'!_Day525)</f>
        <v>14017.499999999998</v>
      </c>
      <c r="C166" s="8">
        <v>481.74</v>
      </c>
      <c r="D166" s="8">
        <v>461.16</v>
      </c>
      <c r="E166" s="8">
        <v>454.86</v>
      </c>
      <c r="F166" s="8">
        <v>439.74</v>
      </c>
      <c r="G166" s="8">
        <v>437.22</v>
      </c>
      <c r="H166" s="8">
        <v>453.18</v>
      </c>
      <c r="I166" s="8">
        <v>501.9</v>
      </c>
      <c r="J166" s="8">
        <v>534.24</v>
      </c>
      <c r="K166" s="8">
        <v>579.17999999999995</v>
      </c>
      <c r="L166" s="8">
        <v>604.79999999999995</v>
      </c>
      <c r="M166" s="8">
        <v>621.17999999999995</v>
      </c>
      <c r="N166" s="8">
        <v>628.32000000000005</v>
      </c>
      <c r="O166" s="8">
        <v>650.16</v>
      </c>
      <c r="P166" s="8">
        <v>666.12</v>
      </c>
      <c r="Q166" s="8">
        <v>652.67999999999995</v>
      </c>
      <c r="R166" s="8">
        <v>654.78</v>
      </c>
      <c r="S166" s="8">
        <v>677.88</v>
      </c>
      <c r="T166" s="8">
        <v>682.92</v>
      </c>
      <c r="U166" s="8">
        <v>682.08</v>
      </c>
      <c r="V166" s="8">
        <v>705.18</v>
      </c>
      <c r="W166" s="8">
        <v>713.16</v>
      </c>
      <c r="X166" s="8">
        <v>637.55999999999995</v>
      </c>
      <c r="Y166" s="8">
        <v>575.82000000000005</v>
      </c>
      <c r="Z166" s="8">
        <v>521.64</v>
      </c>
    </row>
    <row r="167" spans="1:26" x14ac:dyDescent="0.25">
      <c r="A167" s="4">
        <v>41434</v>
      </c>
      <c r="B167" s="5">
        <f>SUM('2013 - 8760 Load'!_Day526)</f>
        <v>13759.619999999999</v>
      </c>
      <c r="C167" s="8">
        <v>481.74</v>
      </c>
      <c r="D167" s="8">
        <v>464.52</v>
      </c>
      <c r="E167" s="8">
        <v>454.02</v>
      </c>
      <c r="F167" s="8">
        <v>449.4</v>
      </c>
      <c r="G167" s="8">
        <v>438.48</v>
      </c>
      <c r="H167" s="8">
        <v>473.76</v>
      </c>
      <c r="I167" s="8">
        <v>514.91999999999996</v>
      </c>
      <c r="J167" s="8">
        <v>587.16</v>
      </c>
      <c r="K167" s="8">
        <v>577.5</v>
      </c>
      <c r="L167" s="8">
        <v>627.05999999999995</v>
      </c>
      <c r="M167" s="8">
        <v>633.36</v>
      </c>
      <c r="N167" s="8">
        <v>627.05999999999995</v>
      </c>
      <c r="O167" s="8">
        <v>660.24</v>
      </c>
      <c r="P167" s="8">
        <v>645.12</v>
      </c>
      <c r="Q167" s="8">
        <v>637.14</v>
      </c>
      <c r="R167" s="8">
        <v>632.52</v>
      </c>
      <c r="S167" s="8">
        <v>667.38</v>
      </c>
      <c r="T167" s="8">
        <v>643.02</v>
      </c>
      <c r="U167" s="8">
        <v>653.94000000000005</v>
      </c>
      <c r="V167" s="8">
        <v>662.34</v>
      </c>
      <c r="W167" s="8">
        <v>673.68</v>
      </c>
      <c r="X167" s="8">
        <v>577.08000000000004</v>
      </c>
      <c r="Y167" s="8">
        <v>510.3</v>
      </c>
      <c r="Z167" s="8">
        <v>467.88</v>
      </c>
    </row>
    <row r="168" spans="1:26" x14ac:dyDescent="0.25">
      <c r="A168" s="4">
        <v>41435</v>
      </c>
      <c r="B168" s="5">
        <f>SUM('2013 - 8760 Load'!_Day527)</f>
        <v>13205.640000000003</v>
      </c>
      <c r="C168" s="8">
        <v>435.54</v>
      </c>
      <c r="D168" s="8">
        <v>435.54</v>
      </c>
      <c r="E168" s="8">
        <v>427.14</v>
      </c>
      <c r="F168" s="8">
        <v>434.7</v>
      </c>
      <c r="G168" s="8">
        <v>446.04</v>
      </c>
      <c r="H168" s="8">
        <v>514.5</v>
      </c>
      <c r="I168" s="8">
        <v>558.6</v>
      </c>
      <c r="J168" s="8">
        <v>560.70000000000005</v>
      </c>
      <c r="K168" s="8">
        <v>556.5</v>
      </c>
      <c r="L168" s="8">
        <v>547.67999999999995</v>
      </c>
      <c r="M168" s="8">
        <v>543.48</v>
      </c>
      <c r="N168" s="8">
        <v>552.29999999999995</v>
      </c>
      <c r="O168" s="8">
        <v>550.20000000000005</v>
      </c>
      <c r="P168" s="8">
        <v>558.17999999999995</v>
      </c>
      <c r="Q168" s="8">
        <v>583.79999999999995</v>
      </c>
      <c r="R168" s="8">
        <v>617.4</v>
      </c>
      <c r="S168" s="8">
        <v>632.1</v>
      </c>
      <c r="T168" s="8">
        <v>682.92</v>
      </c>
      <c r="U168" s="8">
        <v>663.18</v>
      </c>
      <c r="V168" s="8">
        <v>645.12</v>
      </c>
      <c r="W168" s="8">
        <v>643.44000000000005</v>
      </c>
      <c r="X168" s="8">
        <v>606.05999999999995</v>
      </c>
      <c r="Y168" s="8">
        <v>535.08000000000004</v>
      </c>
      <c r="Z168" s="8">
        <v>475.44</v>
      </c>
    </row>
    <row r="169" spans="1:26" x14ac:dyDescent="0.25">
      <c r="A169" s="4">
        <v>41436</v>
      </c>
      <c r="B169" s="5">
        <f>SUM('2013 - 8760 Load'!_Day528)</f>
        <v>13448.400000000001</v>
      </c>
      <c r="C169" s="8">
        <v>460.32</v>
      </c>
      <c r="D169" s="8">
        <v>449.82</v>
      </c>
      <c r="E169" s="8">
        <v>439.32</v>
      </c>
      <c r="F169" s="8">
        <v>438.9</v>
      </c>
      <c r="G169" s="8">
        <v>456.12</v>
      </c>
      <c r="H169" s="8">
        <v>513.66</v>
      </c>
      <c r="I169" s="8">
        <v>525.41999999999996</v>
      </c>
      <c r="J169" s="8">
        <v>535.91999999999996</v>
      </c>
      <c r="K169" s="8">
        <v>561.96</v>
      </c>
      <c r="L169" s="8">
        <v>559.02</v>
      </c>
      <c r="M169" s="8">
        <v>601.86</v>
      </c>
      <c r="N169" s="8">
        <v>593.46</v>
      </c>
      <c r="O169" s="8">
        <v>612.78</v>
      </c>
      <c r="P169" s="8">
        <v>630.84</v>
      </c>
      <c r="Q169" s="8">
        <v>616.98</v>
      </c>
      <c r="R169" s="8">
        <v>607.74</v>
      </c>
      <c r="S169" s="8">
        <v>630.41999999999996</v>
      </c>
      <c r="T169" s="8">
        <v>633.36</v>
      </c>
      <c r="U169" s="8">
        <v>641.34</v>
      </c>
      <c r="V169" s="8">
        <v>661.08</v>
      </c>
      <c r="W169" s="8">
        <v>676.2</v>
      </c>
      <c r="X169" s="8">
        <v>605.64</v>
      </c>
      <c r="Y169" s="8">
        <v>521.22</v>
      </c>
      <c r="Z169" s="8">
        <v>475.02</v>
      </c>
    </row>
    <row r="170" spans="1:26" x14ac:dyDescent="0.25">
      <c r="A170" s="4">
        <v>41437</v>
      </c>
      <c r="B170" s="5">
        <f>SUM('2013 - 8760 Load'!_Day529)</f>
        <v>13075.020000000002</v>
      </c>
      <c r="C170" s="8">
        <v>451.92</v>
      </c>
      <c r="D170" s="8">
        <v>441.84</v>
      </c>
      <c r="E170" s="8">
        <v>429.24</v>
      </c>
      <c r="F170" s="8">
        <v>432.18</v>
      </c>
      <c r="G170" s="8">
        <v>467.04</v>
      </c>
      <c r="H170" s="8">
        <v>495.18</v>
      </c>
      <c r="I170" s="8">
        <v>534.24</v>
      </c>
      <c r="J170" s="8">
        <v>535.08000000000004</v>
      </c>
      <c r="K170" s="8">
        <v>542.22</v>
      </c>
      <c r="L170" s="8">
        <v>542.22</v>
      </c>
      <c r="M170" s="8">
        <v>537.17999999999995</v>
      </c>
      <c r="N170" s="8">
        <v>546.84</v>
      </c>
      <c r="O170" s="8">
        <v>563.22</v>
      </c>
      <c r="P170" s="8">
        <v>585.9</v>
      </c>
      <c r="Q170" s="8">
        <v>585.48</v>
      </c>
      <c r="R170" s="8">
        <v>590.1</v>
      </c>
      <c r="S170" s="8">
        <v>615.29999999999995</v>
      </c>
      <c r="T170" s="8">
        <v>608.58000000000004</v>
      </c>
      <c r="U170" s="8">
        <v>621.17999999999995</v>
      </c>
      <c r="V170" s="8">
        <v>630</v>
      </c>
      <c r="W170" s="8">
        <v>664.86</v>
      </c>
      <c r="X170" s="8">
        <v>611.52</v>
      </c>
      <c r="Y170" s="8">
        <v>549.36</v>
      </c>
      <c r="Z170" s="8">
        <v>494.34</v>
      </c>
    </row>
    <row r="171" spans="1:26" x14ac:dyDescent="0.25">
      <c r="A171" s="4">
        <v>41438</v>
      </c>
      <c r="B171" s="5">
        <f>SUM('2013 - 8760 Load'!_Day530)</f>
        <v>13881.000000000002</v>
      </c>
      <c r="C171" s="8">
        <v>459.9</v>
      </c>
      <c r="D171" s="8">
        <v>444.78</v>
      </c>
      <c r="E171" s="8">
        <v>433.44</v>
      </c>
      <c r="F171" s="8">
        <v>429.66</v>
      </c>
      <c r="G171" s="8">
        <v>467.04</v>
      </c>
      <c r="H171" s="8">
        <v>507.36</v>
      </c>
      <c r="I171" s="8">
        <v>551.04</v>
      </c>
      <c r="J171" s="8">
        <v>574.14</v>
      </c>
      <c r="K171" s="8">
        <v>580.44000000000005</v>
      </c>
      <c r="L171" s="8">
        <v>582.12</v>
      </c>
      <c r="M171" s="8">
        <v>592.62</v>
      </c>
      <c r="N171" s="8">
        <v>589.67999999999995</v>
      </c>
      <c r="O171" s="8">
        <v>581.28</v>
      </c>
      <c r="P171" s="8">
        <v>561.96</v>
      </c>
      <c r="Q171" s="8">
        <v>600.17999999999995</v>
      </c>
      <c r="R171" s="8">
        <v>630.41999999999996</v>
      </c>
      <c r="S171" s="8">
        <v>688.38</v>
      </c>
      <c r="T171" s="8">
        <v>726.18</v>
      </c>
      <c r="U171" s="8">
        <v>718.2</v>
      </c>
      <c r="V171" s="8">
        <v>728.7</v>
      </c>
      <c r="W171" s="8">
        <v>701.4</v>
      </c>
      <c r="X171" s="8">
        <v>644.28</v>
      </c>
      <c r="Y171" s="8">
        <v>581.28</v>
      </c>
      <c r="Z171" s="8">
        <v>506.52</v>
      </c>
    </row>
    <row r="172" spans="1:26" x14ac:dyDescent="0.25">
      <c r="A172" s="4">
        <v>41439</v>
      </c>
      <c r="B172" s="5">
        <f>SUM('2013 - 8760 Load'!_Day531)</f>
        <v>13613.88</v>
      </c>
      <c r="C172" s="8">
        <v>480.06</v>
      </c>
      <c r="D172" s="8">
        <v>463.68</v>
      </c>
      <c r="E172" s="8">
        <v>457.8</v>
      </c>
      <c r="F172" s="8">
        <v>463.26</v>
      </c>
      <c r="G172" s="8">
        <v>482.16</v>
      </c>
      <c r="H172" s="8">
        <v>533.82000000000005</v>
      </c>
      <c r="I172" s="8">
        <v>570.78</v>
      </c>
      <c r="J172" s="8">
        <v>547.67999999999995</v>
      </c>
      <c r="K172" s="8">
        <v>548.52</v>
      </c>
      <c r="L172" s="8">
        <v>580.86</v>
      </c>
      <c r="M172" s="8">
        <v>603.12</v>
      </c>
      <c r="N172" s="8">
        <v>546.84</v>
      </c>
      <c r="O172" s="8">
        <v>538.44000000000005</v>
      </c>
      <c r="P172" s="8">
        <v>554.4</v>
      </c>
      <c r="Q172" s="8">
        <v>566.58000000000004</v>
      </c>
      <c r="R172" s="8">
        <v>572.46</v>
      </c>
      <c r="S172" s="8">
        <v>617.82000000000005</v>
      </c>
      <c r="T172" s="8">
        <v>661.08</v>
      </c>
      <c r="U172" s="8">
        <v>639.24</v>
      </c>
      <c r="V172" s="8">
        <v>658.98</v>
      </c>
      <c r="W172" s="8">
        <v>708.12</v>
      </c>
      <c r="X172" s="8">
        <v>673.26</v>
      </c>
      <c r="Y172" s="8">
        <v>601.86</v>
      </c>
      <c r="Z172" s="8">
        <v>543.05999999999995</v>
      </c>
    </row>
    <row r="173" spans="1:26" x14ac:dyDescent="0.25">
      <c r="A173" s="4">
        <v>41440</v>
      </c>
      <c r="B173" s="5">
        <f>SUM('2013 - 8760 Load'!_Day532)</f>
        <v>14337.119999999999</v>
      </c>
      <c r="C173" s="8">
        <v>513.24</v>
      </c>
      <c r="D173" s="8">
        <v>489.72</v>
      </c>
      <c r="E173" s="8">
        <v>474.18</v>
      </c>
      <c r="F173" s="8">
        <v>463.68</v>
      </c>
      <c r="G173" s="8">
        <v>479.22</v>
      </c>
      <c r="H173" s="8">
        <v>509.04</v>
      </c>
      <c r="I173" s="8">
        <v>527.1</v>
      </c>
      <c r="J173" s="8">
        <v>574.14</v>
      </c>
      <c r="K173" s="8">
        <v>619.5</v>
      </c>
      <c r="L173" s="8">
        <v>604.38</v>
      </c>
      <c r="M173" s="8">
        <v>618.24</v>
      </c>
      <c r="N173" s="8">
        <v>651.84</v>
      </c>
      <c r="O173" s="8">
        <v>649.32000000000005</v>
      </c>
      <c r="P173" s="8">
        <v>639.24</v>
      </c>
      <c r="Q173" s="8">
        <v>633.36</v>
      </c>
      <c r="R173" s="8">
        <v>652.26</v>
      </c>
      <c r="S173" s="8">
        <v>653.1</v>
      </c>
      <c r="T173" s="8">
        <v>643.44000000000005</v>
      </c>
      <c r="U173" s="8">
        <v>655.20000000000005</v>
      </c>
      <c r="V173" s="8">
        <v>722.4</v>
      </c>
      <c r="W173" s="8">
        <v>742.98</v>
      </c>
      <c r="X173" s="8">
        <v>679.98</v>
      </c>
      <c r="Y173" s="8">
        <v>609</v>
      </c>
      <c r="Z173" s="8">
        <v>532.55999999999995</v>
      </c>
    </row>
    <row r="174" spans="1:26" x14ac:dyDescent="0.25">
      <c r="A174" s="4">
        <v>41441</v>
      </c>
      <c r="B174" s="5">
        <f>SUM('2013 - 8760 Load'!_Day533)</f>
        <v>14172.479999999998</v>
      </c>
      <c r="C174" s="8">
        <v>488.88</v>
      </c>
      <c r="D174" s="8">
        <v>472.08</v>
      </c>
      <c r="E174" s="8">
        <v>458.22</v>
      </c>
      <c r="F174" s="8">
        <v>444.78</v>
      </c>
      <c r="G174" s="8">
        <v>442.68</v>
      </c>
      <c r="H174" s="8">
        <v>454.44</v>
      </c>
      <c r="I174" s="8">
        <v>508.2</v>
      </c>
      <c r="J174" s="8">
        <v>580.44000000000005</v>
      </c>
      <c r="K174" s="8">
        <v>613.62</v>
      </c>
      <c r="L174" s="8">
        <v>634.20000000000005</v>
      </c>
      <c r="M174" s="8">
        <v>628.32000000000005</v>
      </c>
      <c r="N174" s="8">
        <v>645.96</v>
      </c>
      <c r="O174" s="8">
        <v>658.14</v>
      </c>
      <c r="P174" s="8">
        <v>656.46</v>
      </c>
      <c r="Q174" s="8">
        <v>695.94</v>
      </c>
      <c r="R174" s="8">
        <v>707.28</v>
      </c>
      <c r="S174" s="8">
        <v>677.04</v>
      </c>
      <c r="T174" s="8">
        <v>689.64</v>
      </c>
      <c r="U174" s="8">
        <v>663.18</v>
      </c>
      <c r="V174" s="8">
        <v>682.08</v>
      </c>
      <c r="W174" s="8">
        <v>688.8</v>
      </c>
      <c r="X174" s="8">
        <v>626.64</v>
      </c>
      <c r="Y174" s="8">
        <v>556.5</v>
      </c>
      <c r="Z174" s="8">
        <v>498.96</v>
      </c>
    </row>
    <row r="175" spans="1:26" x14ac:dyDescent="0.25">
      <c r="A175" s="4">
        <v>41442</v>
      </c>
      <c r="B175" s="5">
        <f>SUM('2013 - 8760 Load'!_Day534)</f>
        <v>14253.960000000003</v>
      </c>
      <c r="C175" s="8">
        <v>467.04</v>
      </c>
      <c r="D175" s="8">
        <v>443.94</v>
      </c>
      <c r="E175" s="8">
        <v>443.52</v>
      </c>
      <c r="F175" s="8">
        <v>443.94</v>
      </c>
      <c r="G175" s="8">
        <v>457.8</v>
      </c>
      <c r="H175" s="8">
        <v>500.64</v>
      </c>
      <c r="I175" s="8">
        <v>526.67999999999995</v>
      </c>
      <c r="J175" s="8">
        <v>551.46</v>
      </c>
      <c r="K175" s="8">
        <v>543.05999999999995</v>
      </c>
      <c r="L175" s="8">
        <v>567.84</v>
      </c>
      <c r="M175" s="8">
        <v>619.91999999999996</v>
      </c>
      <c r="N175" s="8">
        <v>623.28</v>
      </c>
      <c r="O175" s="8">
        <v>637.55999999999995</v>
      </c>
      <c r="P175" s="8">
        <v>667.8</v>
      </c>
      <c r="Q175" s="8">
        <v>669.48</v>
      </c>
      <c r="R175" s="8">
        <v>707.7</v>
      </c>
      <c r="S175" s="8">
        <v>753.9</v>
      </c>
      <c r="T175" s="8">
        <v>730.38</v>
      </c>
      <c r="U175" s="8">
        <v>711.9</v>
      </c>
      <c r="V175" s="8">
        <v>722.4</v>
      </c>
      <c r="W175" s="8">
        <v>718.62</v>
      </c>
      <c r="X175" s="8">
        <v>666.12</v>
      </c>
      <c r="Y175" s="8">
        <v>572.46</v>
      </c>
      <c r="Z175" s="8">
        <v>506.52</v>
      </c>
    </row>
    <row r="176" spans="1:26" x14ac:dyDescent="0.25">
      <c r="A176" s="4">
        <v>41443</v>
      </c>
      <c r="B176" s="5">
        <f>SUM('2013 - 8760 Load'!_Day535)</f>
        <v>13962.479999999998</v>
      </c>
      <c r="C176" s="8">
        <v>488.46</v>
      </c>
      <c r="D176" s="8">
        <v>454.44</v>
      </c>
      <c r="E176" s="8">
        <v>452.76</v>
      </c>
      <c r="F176" s="8">
        <v>449.82</v>
      </c>
      <c r="G176" s="8">
        <v>462.84</v>
      </c>
      <c r="H176" s="8">
        <v>493.92</v>
      </c>
      <c r="I176" s="8">
        <v>521.64</v>
      </c>
      <c r="J176" s="8">
        <v>526.67999999999995</v>
      </c>
      <c r="K176" s="8">
        <v>541.79999999999995</v>
      </c>
      <c r="L176" s="8">
        <v>556.91999999999996</v>
      </c>
      <c r="M176" s="8">
        <v>603.54</v>
      </c>
      <c r="N176" s="8">
        <v>629.16</v>
      </c>
      <c r="O176" s="8">
        <v>658.56</v>
      </c>
      <c r="P176" s="8">
        <v>658.98</v>
      </c>
      <c r="Q176" s="8">
        <v>647.22</v>
      </c>
      <c r="R176" s="8">
        <v>660.66</v>
      </c>
      <c r="S176" s="8">
        <v>699.3</v>
      </c>
      <c r="T176" s="8">
        <v>714.42</v>
      </c>
      <c r="U176" s="8">
        <v>689.64</v>
      </c>
      <c r="V176" s="8">
        <v>711.06</v>
      </c>
      <c r="W176" s="8">
        <v>680.82</v>
      </c>
      <c r="X176" s="8">
        <v>619.91999999999996</v>
      </c>
      <c r="Y176" s="8">
        <v>546.41999999999996</v>
      </c>
      <c r="Z176" s="8">
        <v>493.5</v>
      </c>
    </row>
    <row r="177" spans="1:26" x14ac:dyDescent="0.25">
      <c r="A177" s="4">
        <v>41444</v>
      </c>
      <c r="B177" s="5">
        <f>SUM('2013 - 8760 Load'!_Day536)</f>
        <v>13395.48</v>
      </c>
      <c r="C177" s="8">
        <v>460.74</v>
      </c>
      <c r="D177" s="8">
        <v>438.9</v>
      </c>
      <c r="E177" s="8">
        <v>433.44</v>
      </c>
      <c r="F177" s="8">
        <v>443.1</v>
      </c>
      <c r="G177" s="8">
        <v>459.9</v>
      </c>
      <c r="H177" s="8">
        <v>506.94</v>
      </c>
      <c r="I177" s="8">
        <v>545.16</v>
      </c>
      <c r="J177" s="8">
        <v>554.82000000000005</v>
      </c>
      <c r="K177" s="8">
        <v>548.52</v>
      </c>
      <c r="L177" s="8">
        <v>551.04</v>
      </c>
      <c r="M177" s="8">
        <v>566.58000000000004</v>
      </c>
      <c r="N177" s="8">
        <v>576.66</v>
      </c>
      <c r="O177" s="8">
        <v>607.32000000000005</v>
      </c>
      <c r="P177" s="8">
        <v>617.4</v>
      </c>
      <c r="Q177" s="8">
        <v>622.02</v>
      </c>
      <c r="R177" s="8">
        <v>612.36</v>
      </c>
      <c r="S177" s="8">
        <v>643.44000000000005</v>
      </c>
      <c r="T177" s="8">
        <v>659.82</v>
      </c>
      <c r="U177" s="8">
        <v>643.44000000000005</v>
      </c>
      <c r="V177" s="8">
        <v>674.52</v>
      </c>
      <c r="W177" s="8">
        <v>648.05999999999995</v>
      </c>
      <c r="X177" s="8">
        <v>587.16</v>
      </c>
      <c r="Y177" s="8">
        <v>522.9</v>
      </c>
      <c r="Z177" s="8">
        <v>471.24</v>
      </c>
    </row>
    <row r="178" spans="1:26" x14ac:dyDescent="0.25">
      <c r="A178" s="4">
        <v>41445</v>
      </c>
      <c r="B178" s="5">
        <f>SUM('2013 - 8760 Load'!_Day537)</f>
        <v>13388.340000000002</v>
      </c>
      <c r="C178" s="8">
        <v>450.24</v>
      </c>
      <c r="D178" s="8">
        <v>434.7</v>
      </c>
      <c r="E178" s="8">
        <v>430.5</v>
      </c>
      <c r="F178" s="8">
        <v>433.86</v>
      </c>
      <c r="G178" s="8">
        <v>455.7</v>
      </c>
      <c r="H178" s="8">
        <v>490.98</v>
      </c>
      <c r="I178" s="8">
        <v>532.14</v>
      </c>
      <c r="J178" s="8">
        <v>539.70000000000005</v>
      </c>
      <c r="K178" s="8">
        <v>548.1</v>
      </c>
      <c r="L178" s="8">
        <v>552.72</v>
      </c>
      <c r="M178" s="8">
        <v>556.91999999999996</v>
      </c>
      <c r="N178" s="8">
        <v>583.38</v>
      </c>
      <c r="O178" s="8">
        <v>588.41999999999996</v>
      </c>
      <c r="P178" s="8">
        <v>589.67999999999995</v>
      </c>
      <c r="Q178" s="8">
        <v>598.91999999999996</v>
      </c>
      <c r="R178" s="8">
        <v>620.76</v>
      </c>
      <c r="S178" s="8">
        <v>677.46</v>
      </c>
      <c r="T178" s="8">
        <v>643.86</v>
      </c>
      <c r="U178" s="8">
        <v>647.22</v>
      </c>
      <c r="V178" s="8">
        <v>664.02</v>
      </c>
      <c r="W178" s="8">
        <v>686.7</v>
      </c>
      <c r="X178" s="8">
        <v>621.17999999999995</v>
      </c>
      <c r="Y178" s="8">
        <v>551.46</v>
      </c>
      <c r="Z178" s="8">
        <v>489.72</v>
      </c>
    </row>
    <row r="179" spans="1:26" x14ac:dyDescent="0.25">
      <c r="A179" s="4">
        <v>41446</v>
      </c>
      <c r="B179" s="5">
        <f>SUM('2013 - 8760 Load'!_Day538)</f>
        <v>13885.62</v>
      </c>
      <c r="C179" s="8">
        <v>456.54</v>
      </c>
      <c r="D179" s="8">
        <v>431.34</v>
      </c>
      <c r="E179" s="8">
        <v>433.86</v>
      </c>
      <c r="F179" s="8">
        <v>425.46</v>
      </c>
      <c r="G179" s="8">
        <v>440.58</v>
      </c>
      <c r="H179" s="8">
        <v>469.14</v>
      </c>
      <c r="I179" s="8">
        <v>512.4</v>
      </c>
      <c r="J179" s="8">
        <v>514.08000000000004</v>
      </c>
      <c r="K179" s="8">
        <v>521.64</v>
      </c>
      <c r="L179" s="8">
        <v>556.08000000000004</v>
      </c>
      <c r="M179" s="8">
        <v>568.26</v>
      </c>
      <c r="N179" s="8">
        <v>598.08000000000004</v>
      </c>
      <c r="O179" s="8">
        <v>614.04</v>
      </c>
      <c r="P179" s="8">
        <v>614.04</v>
      </c>
      <c r="Q179" s="8">
        <v>615.72</v>
      </c>
      <c r="R179" s="8">
        <v>658.98</v>
      </c>
      <c r="S179" s="8">
        <v>716.1</v>
      </c>
      <c r="T179" s="8">
        <v>721.98</v>
      </c>
      <c r="U179" s="8">
        <v>729.12</v>
      </c>
      <c r="V179" s="8">
        <v>711.48</v>
      </c>
      <c r="W179" s="8">
        <v>748.86</v>
      </c>
      <c r="X179" s="8">
        <v>678.3</v>
      </c>
      <c r="Y179" s="8">
        <v>611.94000000000005</v>
      </c>
      <c r="Z179" s="8">
        <v>537.6</v>
      </c>
    </row>
    <row r="180" spans="1:26" x14ac:dyDescent="0.25">
      <c r="A180" s="4">
        <v>41447</v>
      </c>
      <c r="B180" s="5">
        <f>SUM('2013 - 8760 Load'!_Day539)</f>
        <v>15276.240000000002</v>
      </c>
      <c r="C180" s="8">
        <v>508.2</v>
      </c>
      <c r="D180" s="8">
        <v>483.84</v>
      </c>
      <c r="E180" s="8">
        <v>462</v>
      </c>
      <c r="F180" s="8">
        <v>454.02</v>
      </c>
      <c r="G180" s="8">
        <v>462.42</v>
      </c>
      <c r="H180" s="8">
        <v>477.96</v>
      </c>
      <c r="I180" s="8">
        <v>517.86</v>
      </c>
      <c r="J180" s="8">
        <v>564.9</v>
      </c>
      <c r="K180" s="8">
        <v>612.36</v>
      </c>
      <c r="L180" s="8">
        <v>646.38</v>
      </c>
      <c r="M180" s="8">
        <v>678.72</v>
      </c>
      <c r="N180" s="8">
        <v>687.96</v>
      </c>
      <c r="O180" s="8">
        <v>672.84</v>
      </c>
      <c r="P180" s="8">
        <v>709.38</v>
      </c>
      <c r="Q180" s="8">
        <v>721.98</v>
      </c>
      <c r="R180" s="8">
        <v>760.62</v>
      </c>
      <c r="S180" s="8">
        <v>790.02</v>
      </c>
      <c r="T180" s="8">
        <v>784.98</v>
      </c>
      <c r="U180" s="8">
        <v>749.7</v>
      </c>
      <c r="V180" s="8">
        <v>784.98</v>
      </c>
      <c r="W180" s="8">
        <v>782.46</v>
      </c>
      <c r="X180" s="8">
        <v>717.36</v>
      </c>
      <c r="Y180" s="8">
        <v>657.3</v>
      </c>
      <c r="Z180" s="8">
        <v>588</v>
      </c>
    </row>
    <row r="181" spans="1:26" x14ac:dyDescent="0.25">
      <c r="A181" s="4">
        <v>41448</v>
      </c>
      <c r="B181" s="5">
        <f>SUM('2013 - 8760 Load'!_Day540)</f>
        <v>16803.780000000002</v>
      </c>
      <c r="C181" s="8">
        <v>542.22</v>
      </c>
      <c r="D181" s="8">
        <v>511.98</v>
      </c>
      <c r="E181" s="8">
        <v>488.88</v>
      </c>
      <c r="F181" s="8">
        <v>483</v>
      </c>
      <c r="G181" s="8">
        <v>478.8</v>
      </c>
      <c r="H181" s="8">
        <v>486.78</v>
      </c>
      <c r="I181" s="8">
        <v>533.4</v>
      </c>
      <c r="J181" s="8">
        <v>596.82000000000005</v>
      </c>
      <c r="K181" s="8">
        <v>674.52</v>
      </c>
      <c r="L181" s="8">
        <v>716.94</v>
      </c>
      <c r="M181" s="8">
        <v>777.84</v>
      </c>
      <c r="N181" s="8">
        <v>809.34</v>
      </c>
      <c r="O181" s="8">
        <v>853.02</v>
      </c>
      <c r="P181" s="8">
        <v>873.6</v>
      </c>
      <c r="Q181" s="8">
        <v>902.58</v>
      </c>
      <c r="R181" s="8">
        <v>879.9</v>
      </c>
      <c r="S181" s="8">
        <v>840.84</v>
      </c>
      <c r="T181" s="8">
        <v>840.42</v>
      </c>
      <c r="U181" s="8">
        <v>825.72</v>
      </c>
      <c r="V181" s="8">
        <v>829.92</v>
      </c>
      <c r="W181" s="8">
        <v>823.2</v>
      </c>
      <c r="X181" s="8">
        <v>772.8</v>
      </c>
      <c r="Y181" s="8">
        <v>664.86</v>
      </c>
      <c r="Z181" s="8">
        <v>596.4</v>
      </c>
    </row>
    <row r="182" spans="1:26" x14ac:dyDescent="0.25">
      <c r="A182" s="4">
        <v>41449</v>
      </c>
      <c r="B182" s="5">
        <f>SUM('2013 - 8760 Load'!_Day541)</f>
        <v>16946.580000000002</v>
      </c>
      <c r="C182" s="8">
        <v>562.79999999999995</v>
      </c>
      <c r="D182" s="8">
        <v>540.12</v>
      </c>
      <c r="E182" s="8">
        <v>530.04</v>
      </c>
      <c r="F182" s="8">
        <v>526.67999999999995</v>
      </c>
      <c r="G182" s="8">
        <v>543.48</v>
      </c>
      <c r="H182" s="8">
        <v>534.66</v>
      </c>
      <c r="I182" s="8">
        <v>587.58000000000004</v>
      </c>
      <c r="J182" s="8">
        <v>622.86</v>
      </c>
      <c r="K182" s="8">
        <v>661.08</v>
      </c>
      <c r="L182" s="8">
        <v>704.34</v>
      </c>
      <c r="M182" s="8">
        <v>770.7</v>
      </c>
      <c r="N182" s="8">
        <v>810.6</v>
      </c>
      <c r="O182" s="8">
        <v>829.08</v>
      </c>
      <c r="P182" s="8">
        <v>865.62</v>
      </c>
      <c r="Q182" s="8">
        <v>872.34</v>
      </c>
      <c r="R182" s="8">
        <v>872.76</v>
      </c>
      <c r="S182" s="8">
        <v>891.24</v>
      </c>
      <c r="T182" s="8">
        <v>853.86</v>
      </c>
      <c r="U182" s="8">
        <v>820.26</v>
      </c>
      <c r="V182" s="8">
        <v>801.78</v>
      </c>
      <c r="W182" s="8">
        <v>799.26</v>
      </c>
      <c r="X182" s="8">
        <v>727.44</v>
      </c>
      <c r="Y182" s="8">
        <v>648.9</v>
      </c>
      <c r="Z182" s="8">
        <v>569.1</v>
      </c>
    </row>
    <row r="183" spans="1:26" x14ac:dyDescent="0.25">
      <c r="A183" s="4">
        <v>41450</v>
      </c>
      <c r="B183" s="5">
        <f>SUM('2013 - 8760 Load'!_Day542)</f>
        <v>16803.779999999995</v>
      </c>
      <c r="C183" s="8">
        <v>535.08000000000004</v>
      </c>
      <c r="D183" s="8">
        <v>504</v>
      </c>
      <c r="E183" s="8">
        <v>485.1</v>
      </c>
      <c r="F183" s="8">
        <v>485.94</v>
      </c>
      <c r="G183" s="8">
        <v>501.06</v>
      </c>
      <c r="H183" s="8">
        <v>522.48</v>
      </c>
      <c r="I183" s="8">
        <v>561.12</v>
      </c>
      <c r="J183" s="8">
        <v>602.28</v>
      </c>
      <c r="K183" s="8">
        <v>679.56</v>
      </c>
      <c r="L183" s="8">
        <v>721.14</v>
      </c>
      <c r="M183" s="8">
        <v>775.74</v>
      </c>
      <c r="N183" s="8">
        <v>826.56</v>
      </c>
      <c r="O183" s="8">
        <v>824.04</v>
      </c>
      <c r="P183" s="8">
        <v>824.04</v>
      </c>
      <c r="Q183" s="8">
        <v>845.88</v>
      </c>
      <c r="R183" s="8">
        <v>816.06</v>
      </c>
      <c r="S183" s="8">
        <v>855.96</v>
      </c>
      <c r="T183" s="8">
        <v>869.82</v>
      </c>
      <c r="U183" s="8">
        <v>867.72</v>
      </c>
      <c r="V183" s="8">
        <v>878.22</v>
      </c>
      <c r="W183" s="8">
        <v>828.24</v>
      </c>
      <c r="X183" s="8">
        <v>730.8</v>
      </c>
      <c r="Y183" s="8">
        <v>664.02</v>
      </c>
      <c r="Z183" s="8">
        <v>598.91999999999996</v>
      </c>
    </row>
    <row r="184" spans="1:26" x14ac:dyDescent="0.25">
      <c r="A184" s="4">
        <v>41451</v>
      </c>
      <c r="B184" s="5">
        <f>SUM('2013 - 8760 Load'!_Day543)</f>
        <v>15915.060000000003</v>
      </c>
      <c r="C184" s="8">
        <v>557.76</v>
      </c>
      <c r="D184" s="8">
        <v>538.02</v>
      </c>
      <c r="E184" s="8">
        <v>530.88</v>
      </c>
      <c r="F184" s="8">
        <v>525.41999999999996</v>
      </c>
      <c r="G184" s="8">
        <v>520.79999999999995</v>
      </c>
      <c r="H184" s="8">
        <v>551.88</v>
      </c>
      <c r="I184" s="8">
        <v>582.12</v>
      </c>
      <c r="J184" s="8">
        <v>607.74</v>
      </c>
      <c r="K184" s="8">
        <v>635.04</v>
      </c>
      <c r="L184" s="8">
        <v>698.88</v>
      </c>
      <c r="M184" s="8">
        <v>715.68</v>
      </c>
      <c r="N184" s="8">
        <v>698.46</v>
      </c>
      <c r="O184" s="8">
        <v>720.3</v>
      </c>
      <c r="P184" s="8">
        <v>733.74</v>
      </c>
      <c r="Q184" s="8">
        <v>734.58</v>
      </c>
      <c r="R184" s="8">
        <v>777</v>
      </c>
      <c r="S184" s="8">
        <v>790.86</v>
      </c>
      <c r="T184" s="8">
        <v>765.24</v>
      </c>
      <c r="U184" s="8">
        <v>771.12</v>
      </c>
      <c r="V184" s="8">
        <v>775.32</v>
      </c>
      <c r="W184" s="8">
        <v>787.92</v>
      </c>
      <c r="X184" s="8">
        <v>701.4</v>
      </c>
      <c r="Y184" s="8">
        <v>633.78</v>
      </c>
      <c r="Z184" s="8">
        <v>561.12</v>
      </c>
    </row>
    <row r="185" spans="1:26" x14ac:dyDescent="0.25">
      <c r="A185" s="4">
        <v>41452</v>
      </c>
      <c r="B185" s="5">
        <f>SUM('2013 - 8760 Load'!_Day544)</f>
        <v>16314.060000000001</v>
      </c>
      <c r="C185" s="8">
        <v>521.22</v>
      </c>
      <c r="D185" s="8">
        <v>502.74</v>
      </c>
      <c r="E185" s="8">
        <v>483.42</v>
      </c>
      <c r="F185" s="8">
        <v>471.24</v>
      </c>
      <c r="G185" s="8">
        <v>506.1</v>
      </c>
      <c r="H185" s="8">
        <v>516.17999999999995</v>
      </c>
      <c r="I185" s="8">
        <v>569.1</v>
      </c>
      <c r="J185" s="8">
        <v>589.26</v>
      </c>
      <c r="K185" s="8">
        <v>648.48</v>
      </c>
      <c r="L185" s="8">
        <v>686.7</v>
      </c>
      <c r="M185" s="8">
        <v>739.62</v>
      </c>
      <c r="N185" s="8">
        <v>786.24</v>
      </c>
      <c r="O185" s="8">
        <v>803.88</v>
      </c>
      <c r="P185" s="8">
        <v>798.42</v>
      </c>
      <c r="Q185" s="8">
        <v>800.1</v>
      </c>
      <c r="R185" s="8">
        <v>805.14</v>
      </c>
      <c r="S185" s="8">
        <v>843.36</v>
      </c>
      <c r="T185" s="8">
        <v>840.84</v>
      </c>
      <c r="U185" s="8">
        <v>806.82</v>
      </c>
      <c r="V185" s="8">
        <v>834.96</v>
      </c>
      <c r="W185" s="8">
        <v>819</v>
      </c>
      <c r="X185" s="8">
        <v>724.92</v>
      </c>
      <c r="Y185" s="8">
        <v>634.62</v>
      </c>
      <c r="Z185" s="8">
        <v>581.70000000000005</v>
      </c>
    </row>
    <row r="186" spans="1:26" x14ac:dyDescent="0.25">
      <c r="A186" s="4">
        <v>41453</v>
      </c>
      <c r="B186" s="5">
        <f>SUM('2013 - 8760 Load'!_Day545)</f>
        <v>16599.240000000002</v>
      </c>
      <c r="C186" s="8">
        <v>548.52</v>
      </c>
      <c r="D186" s="8">
        <v>522.48</v>
      </c>
      <c r="E186" s="8">
        <v>507.36</v>
      </c>
      <c r="F186" s="8">
        <v>501.48</v>
      </c>
      <c r="G186" s="8">
        <v>508.2</v>
      </c>
      <c r="H186" s="8">
        <v>520.38</v>
      </c>
      <c r="I186" s="8">
        <v>571.20000000000005</v>
      </c>
      <c r="J186" s="8">
        <v>605.64</v>
      </c>
      <c r="K186" s="8">
        <v>650.58000000000004</v>
      </c>
      <c r="L186" s="8">
        <v>680.4</v>
      </c>
      <c r="M186" s="8">
        <v>699.72</v>
      </c>
      <c r="N186" s="8">
        <v>745.5</v>
      </c>
      <c r="O186" s="8">
        <v>749.7</v>
      </c>
      <c r="P186" s="8">
        <v>763.98</v>
      </c>
      <c r="Q186" s="8">
        <v>799.68</v>
      </c>
      <c r="R186" s="8">
        <v>833.28</v>
      </c>
      <c r="S186" s="8">
        <v>857.22</v>
      </c>
      <c r="T186" s="8">
        <v>868.14</v>
      </c>
      <c r="U186" s="8">
        <v>894.18</v>
      </c>
      <c r="V186" s="8">
        <v>848.82</v>
      </c>
      <c r="W186" s="8">
        <v>833.28</v>
      </c>
      <c r="X186" s="8">
        <v>771.12</v>
      </c>
      <c r="Y186" s="8">
        <v>692.58</v>
      </c>
      <c r="Z186" s="8">
        <v>625.79999999999995</v>
      </c>
    </row>
    <row r="187" spans="1:26" x14ac:dyDescent="0.25">
      <c r="A187" s="4">
        <v>41454</v>
      </c>
      <c r="B187" s="5">
        <f>SUM('2013 - 8760 Load'!_Day546)</f>
        <v>16975.98</v>
      </c>
      <c r="C187" s="8">
        <v>586.74</v>
      </c>
      <c r="D187" s="8">
        <v>544.74</v>
      </c>
      <c r="E187" s="8">
        <v>528.78</v>
      </c>
      <c r="F187" s="8">
        <v>520.38</v>
      </c>
      <c r="G187" s="8">
        <v>521.22</v>
      </c>
      <c r="H187" s="8">
        <v>524.58000000000004</v>
      </c>
      <c r="I187" s="8">
        <v>582.12</v>
      </c>
      <c r="J187" s="8">
        <v>637.55999999999995</v>
      </c>
      <c r="K187" s="8">
        <v>697.62</v>
      </c>
      <c r="L187" s="8">
        <v>724.92</v>
      </c>
      <c r="M187" s="8">
        <v>773.64</v>
      </c>
      <c r="N187" s="8">
        <v>800.1</v>
      </c>
      <c r="O187" s="8">
        <v>822.78</v>
      </c>
      <c r="P187" s="8">
        <v>819.84</v>
      </c>
      <c r="Q187" s="8">
        <v>826.98</v>
      </c>
      <c r="R187" s="8">
        <v>838.74</v>
      </c>
      <c r="S187" s="8">
        <v>848.82</v>
      </c>
      <c r="T187" s="8">
        <v>817.74</v>
      </c>
      <c r="U187" s="8">
        <v>798</v>
      </c>
      <c r="V187" s="8">
        <v>849.24</v>
      </c>
      <c r="W187" s="8">
        <v>843.36</v>
      </c>
      <c r="X187" s="8">
        <v>775.32</v>
      </c>
      <c r="Y187" s="8">
        <v>680.82</v>
      </c>
      <c r="Z187" s="8">
        <v>611.94000000000005</v>
      </c>
    </row>
    <row r="188" spans="1:26" x14ac:dyDescent="0.25">
      <c r="A188" s="4">
        <v>41455</v>
      </c>
      <c r="B188" s="5">
        <f>SUM('2013 - 8760 Load'!_Day547)</f>
        <v>16480.8</v>
      </c>
      <c r="C188" s="8">
        <v>558.17999999999995</v>
      </c>
      <c r="D188" s="8">
        <v>525.41999999999996</v>
      </c>
      <c r="E188" s="8">
        <v>499.38</v>
      </c>
      <c r="F188" s="8">
        <v>479.22</v>
      </c>
      <c r="G188" s="8">
        <v>489.3</v>
      </c>
      <c r="H188" s="8">
        <v>497.28</v>
      </c>
      <c r="I188" s="8">
        <v>561.96</v>
      </c>
      <c r="J188" s="8">
        <v>622.86</v>
      </c>
      <c r="K188" s="8">
        <v>698.04</v>
      </c>
      <c r="L188" s="8">
        <v>760.2</v>
      </c>
      <c r="M188" s="8">
        <v>803.46</v>
      </c>
      <c r="N188" s="8">
        <v>811.02</v>
      </c>
      <c r="O188" s="8">
        <v>837.9</v>
      </c>
      <c r="P188" s="8">
        <v>822.36</v>
      </c>
      <c r="Q188" s="8">
        <v>821.1</v>
      </c>
      <c r="R188" s="8">
        <v>817.32</v>
      </c>
      <c r="S188" s="8">
        <v>808.08</v>
      </c>
      <c r="T188" s="8">
        <v>799.68</v>
      </c>
      <c r="U188" s="8">
        <v>767.34</v>
      </c>
      <c r="V188" s="8">
        <v>784.56</v>
      </c>
      <c r="W188" s="8">
        <v>794.64</v>
      </c>
      <c r="X188" s="8">
        <v>736.68</v>
      </c>
      <c r="Y188" s="8">
        <v>624.96</v>
      </c>
      <c r="Z188" s="8">
        <v>559.86</v>
      </c>
    </row>
    <row r="189" spans="1:26" x14ac:dyDescent="0.25">
      <c r="A189" s="4">
        <v>41456</v>
      </c>
      <c r="B189" s="5">
        <f>SUM('2013 - 8760 Load'!_Day548)</f>
        <v>16376.220000000001</v>
      </c>
      <c r="C189" s="8">
        <v>531.72</v>
      </c>
      <c r="D189" s="8">
        <v>510.72</v>
      </c>
      <c r="E189" s="8">
        <v>499.38</v>
      </c>
      <c r="F189" s="8">
        <v>491.82</v>
      </c>
      <c r="G189" s="8">
        <v>522.05999999999995</v>
      </c>
      <c r="H189" s="8">
        <v>571.62</v>
      </c>
      <c r="I189" s="8">
        <v>608.58000000000004</v>
      </c>
      <c r="J189" s="8">
        <v>637.14</v>
      </c>
      <c r="K189" s="8">
        <v>683.34</v>
      </c>
      <c r="L189" s="8">
        <v>716.52</v>
      </c>
      <c r="M189" s="8">
        <v>730.8</v>
      </c>
      <c r="N189" s="8">
        <v>746.34</v>
      </c>
      <c r="O189" s="8">
        <v>746.76</v>
      </c>
      <c r="P189" s="8">
        <v>766.08</v>
      </c>
      <c r="Q189" s="8">
        <v>771.12</v>
      </c>
      <c r="R189" s="8">
        <v>760.62</v>
      </c>
      <c r="S189" s="8">
        <v>795.06</v>
      </c>
      <c r="T189" s="8">
        <v>829.08</v>
      </c>
      <c r="U189" s="8">
        <v>809.76</v>
      </c>
      <c r="V189" s="8">
        <v>815.22</v>
      </c>
      <c r="W189" s="8">
        <v>814.8</v>
      </c>
      <c r="X189" s="8">
        <v>748.86</v>
      </c>
      <c r="Y189" s="8">
        <v>667.38</v>
      </c>
      <c r="Z189" s="8">
        <v>601.44000000000005</v>
      </c>
    </row>
    <row r="190" spans="1:26" x14ac:dyDescent="0.25">
      <c r="A190" s="4">
        <v>41457</v>
      </c>
      <c r="B190" s="5">
        <f>SUM('2013 - 8760 Load'!_Day549)</f>
        <v>17726.939999999995</v>
      </c>
      <c r="C190" s="8">
        <v>557.34</v>
      </c>
      <c r="D190" s="8">
        <v>533.82000000000005</v>
      </c>
      <c r="E190" s="8">
        <v>527.52</v>
      </c>
      <c r="F190" s="8">
        <v>521.22</v>
      </c>
      <c r="G190" s="8">
        <v>542.64</v>
      </c>
      <c r="H190" s="8">
        <v>564.05999999999995</v>
      </c>
      <c r="I190" s="8">
        <v>612.78</v>
      </c>
      <c r="J190" s="8">
        <v>700.98</v>
      </c>
      <c r="K190" s="8">
        <v>721.98</v>
      </c>
      <c r="L190" s="8">
        <v>734.58</v>
      </c>
      <c r="M190" s="8">
        <v>743.82</v>
      </c>
      <c r="N190" s="8">
        <v>803.88</v>
      </c>
      <c r="O190" s="8">
        <v>819.42</v>
      </c>
      <c r="P190" s="8">
        <v>834.54</v>
      </c>
      <c r="Q190" s="8">
        <v>864.36</v>
      </c>
      <c r="R190" s="8">
        <v>908.88</v>
      </c>
      <c r="S190" s="8">
        <v>921.06</v>
      </c>
      <c r="T190" s="8">
        <v>888.3</v>
      </c>
      <c r="U190" s="8">
        <v>882.84</v>
      </c>
      <c r="V190" s="8">
        <v>892.5</v>
      </c>
      <c r="W190" s="8">
        <v>918.96</v>
      </c>
      <c r="X190" s="8">
        <v>829.08</v>
      </c>
      <c r="Y190" s="8">
        <v>732.06</v>
      </c>
      <c r="Z190" s="8">
        <v>670.32</v>
      </c>
    </row>
    <row r="191" spans="1:26" x14ac:dyDescent="0.25">
      <c r="A191" s="4">
        <v>41458</v>
      </c>
      <c r="B191" s="5">
        <f>SUM('2013 - 8760 Load'!_Day550)</f>
        <v>18370.38</v>
      </c>
      <c r="C191" s="8">
        <v>604.38</v>
      </c>
      <c r="D191" s="8">
        <v>570.78</v>
      </c>
      <c r="E191" s="8">
        <v>543.05999999999995</v>
      </c>
      <c r="F191" s="8">
        <v>532.98</v>
      </c>
      <c r="G191" s="8">
        <v>549.36</v>
      </c>
      <c r="H191" s="8">
        <v>571.20000000000005</v>
      </c>
      <c r="I191" s="8">
        <v>632.1</v>
      </c>
      <c r="J191" s="8">
        <v>687.12</v>
      </c>
      <c r="K191" s="8">
        <v>718.62</v>
      </c>
      <c r="L191" s="8">
        <v>745.08</v>
      </c>
      <c r="M191" s="8">
        <v>768.6</v>
      </c>
      <c r="N191" s="8">
        <v>824.46</v>
      </c>
      <c r="O191" s="8">
        <v>843.78</v>
      </c>
      <c r="P191" s="8">
        <v>866.88</v>
      </c>
      <c r="Q191" s="8">
        <v>869.4</v>
      </c>
      <c r="R191" s="8">
        <v>891.24</v>
      </c>
      <c r="S191" s="8">
        <v>954.24</v>
      </c>
      <c r="T191" s="8">
        <v>939.54</v>
      </c>
      <c r="U191" s="8">
        <v>937.44</v>
      </c>
      <c r="V191" s="8">
        <v>974.4</v>
      </c>
      <c r="W191" s="8">
        <v>953.82</v>
      </c>
      <c r="X191" s="8">
        <v>894.6</v>
      </c>
      <c r="Y191" s="8">
        <v>795.06</v>
      </c>
      <c r="Z191" s="8">
        <v>702.24</v>
      </c>
    </row>
    <row r="192" spans="1:26" x14ac:dyDescent="0.25">
      <c r="A192" s="4">
        <v>41459</v>
      </c>
      <c r="B192" s="5">
        <f>SUM('2013 - 8760 Load'!_Day551)</f>
        <v>21076.86</v>
      </c>
      <c r="C192" s="8">
        <v>658.98</v>
      </c>
      <c r="D192" s="8">
        <v>623.28</v>
      </c>
      <c r="E192" s="8">
        <v>589.26</v>
      </c>
      <c r="F192" s="8">
        <v>566.16</v>
      </c>
      <c r="G192" s="8">
        <v>574.55999999999995</v>
      </c>
      <c r="H192" s="8">
        <v>582.54</v>
      </c>
      <c r="I192" s="8">
        <v>631.26</v>
      </c>
      <c r="J192" s="8">
        <v>739.62</v>
      </c>
      <c r="K192" s="8">
        <v>880.32</v>
      </c>
      <c r="L192" s="8">
        <v>930.72</v>
      </c>
      <c r="M192" s="8">
        <v>954.24</v>
      </c>
      <c r="N192" s="8">
        <v>1000.44</v>
      </c>
      <c r="O192" s="8">
        <v>1021.44</v>
      </c>
      <c r="P192" s="8">
        <v>1047.48</v>
      </c>
      <c r="Q192" s="8">
        <v>1053.3599999999999</v>
      </c>
      <c r="R192" s="8">
        <v>1058.4000000000001</v>
      </c>
      <c r="S192" s="8">
        <v>1079.82</v>
      </c>
      <c r="T192" s="8">
        <v>1100.82</v>
      </c>
      <c r="U192" s="8">
        <v>1097.04</v>
      </c>
      <c r="V192" s="8">
        <v>1079.4000000000001</v>
      </c>
      <c r="W192" s="8">
        <v>1047.48</v>
      </c>
      <c r="X192" s="8">
        <v>1017.24</v>
      </c>
      <c r="Y192" s="8">
        <v>922.32</v>
      </c>
      <c r="Z192" s="8">
        <v>820.68</v>
      </c>
    </row>
    <row r="193" spans="1:26" x14ac:dyDescent="0.25">
      <c r="A193" s="4">
        <v>41460</v>
      </c>
      <c r="B193" s="5">
        <f>SUM('2013 - 8760 Load'!_Day552)</f>
        <v>23198.7</v>
      </c>
      <c r="C193" s="8">
        <v>713.16</v>
      </c>
      <c r="D193" s="8">
        <v>672.42</v>
      </c>
      <c r="E193" s="8">
        <v>643.86</v>
      </c>
      <c r="F193" s="8">
        <v>622.44000000000005</v>
      </c>
      <c r="G193" s="8">
        <v>619.5</v>
      </c>
      <c r="H193" s="8">
        <v>627.48</v>
      </c>
      <c r="I193" s="8">
        <v>708.54</v>
      </c>
      <c r="J193" s="8">
        <v>805.98</v>
      </c>
      <c r="K193" s="8">
        <v>900.48</v>
      </c>
      <c r="L193" s="8">
        <v>964.32</v>
      </c>
      <c r="M193" s="8">
        <v>1033.2</v>
      </c>
      <c r="N193" s="8">
        <v>1080.6600000000001</v>
      </c>
      <c r="O193" s="8">
        <v>1086.96</v>
      </c>
      <c r="P193" s="8">
        <v>1081.5</v>
      </c>
      <c r="Q193" s="8">
        <v>1105.8599999999999</v>
      </c>
      <c r="R193" s="8">
        <v>1172.6400000000001</v>
      </c>
      <c r="S193" s="8">
        <v>1246.56</v>
      </c>
      <c r="T193" s="8">
        <v>1254.54</v>
      </c>
      <c r="U193" s="8">
        <v>1294.44</v>
      </c>
      <c r="V193" s="8">
        <v>1261.68</v>
      </c>
      <c r="W193" s="8">
        <v>1255.3800000000001</v>
      </c>
      <c r="X193" s="8">
        <v>1153.74</v>
      </c>
      <c r="Y193" s="8">
        <v>1015.14</v>
      </c>
      <c r="Z193" s="8">
        <v>878.22</v>
      </c>
    </row>
    <row r="194" spans="1:26" x14ac:dyDescent="0.25">
      <c r="A194" s="4">
        <v>41461</v>
      </c>
      <c r="B194" s="5">
        <f>SUM('2013 - 8760 Load'!_Day553)</f>
        <v>24469.62</v>
      </c>
      <c r="C194" s="8">
        <v>812.7</v>
      </c>
      <c r="D194" s="8">
        <v>752.64</v>
      </c>
      <c r="E194" s="8">
        <v>725.76</v>
      </c>
      <c r="F194" s="8">
        <v>703.92</v>
      </c>
      <c r="G194" s="8">
        <v>677.46</v>
      </c>
      <c r="H194" s="8">
        <v>685.44</v>
      </c>
      <c r="I194" s="8">
        <v>771.54</v>
      </c>
      <c r="J194" s="8">
        <v>910.14</v>
      </c>
      <c r="K194" s="8">
        <v>1063.8599999999999</v>
      </c>
      <c r="L194" s="8">
        <v>1097.46</v>
      </c>
      <c r="M194" s="8">
        <v>1100.82</v>
      </c>
      <c r="N194" s="8">
        <v>1146.18</v>
      </c>
      <c r="O194" s="8">
        <v>1195.32</v>
      </c>
      <c r="P194" s="8">
        <v>1198.26</v>
      </c>
      <c r="Q194" s="8">
        <v>1218.42</v>
      </c>
      <c r="R194" s="8">
        <v>1246.56</v>
      </c>
      <c r="S194" s="8">
        <v>1298.22</v>
      </c>
      <c r="T194" s="8">
        <v>1229.76</v>
      </c>
      <c r="U194" s="8">
        <v>1184.4000000000001</v>
      </c>
      <c r="V194" s="8">
        <v>1160.8800000000001</v>
      </c>
      <c r="W194" s="8">
        <v>1216.32</v>
      </c>
      <c r="X194" s="8">
        <v>1159.6199999999999</v>
      </c>
      <c r="Y194" s="8">
        <v>1020.6</v>
      </c>
      <c r="Z194" s="8">
        <v>893.34</v>
      </c>
    </row>
    <row r="195" spans="1:26" x14ac:dyDescent="0.25">
      <c r="A195" s="4">
        <v>41462</v>
      </c>
      <c r="B195" s="5">
        <f>SUM('2013 - 8760 Load'!_Day554)</f>
        <v>23603.58</v>
      </c>
      <c r="C195" s="8">
        <v>817.32</v>
      </c>
      <c r="D195" s="8">
        <v>747.6</v>
      </c>
      <c r="E195" s="8">
        <v>694.68</v>
      </c>
      <c r="F195" s="8">
        <v>674.1</v>
      </c>
      <c r="G195" s="8">
        <v>664.86</v>
      </c>
      <c r="H195" s="8">
        <v>674.94</v>
      </c>
      <c r="I195" s="8">
        <v>758.94</v>
      </c>
      <c r="J195" s="8">
        <v>900.9</v>
      </c>
      <c r="K195" s="8">
        <v>1030.68</v>
      </c>
      <c r="L195" s="8">
        <v>1106.28</v>
      </c>
      <c r="M195" s="8">
        <v>1170.1199999999999</v>
      </c>
      <c r="N195" s="8">
        <v>1183.56</v>
      </c>
      <c r="O195" s="8">
        <v>1219.68</v>
      </c>
      <c r="P195" s="8">
        <v>1235.22</v>
      </c>
      <c r="Q195" s="8">
        <v>1213.8</v>
      </c>
      <c r="R195" s="8">
        <v>1209.18</v>
      </c>
      <c r="S195" s="8">
        <v>1237.32</v>
      </c>
      <c r="T195" s="8">
        <v>1227.24</v>
      </c>
      <c r="U195" s="8">
        <v>1151.6400000000001</v>
      </c>
      <c r="V195" s="8">
        <v>1112.58</v>
      </c>
      <c r="W195" s="8">
        <v>1089.9000000000001</v>
      </c>
      <c r="X195" s="8">
        <v>938.7</v>
      </c>
      <c r="Y195" s="8">
        <v>823.62</v>
      </c>
      <c r="Z195" s="8">
        <v>720.72</v>
      </c>
    </row>
    <row r="196" spans="1:26" x14ac:dyDescent="0.25">
      <c r="A196" s="4">
        <v>41463</v>
      </c>
      <c r="B196" s="5">
        <f>SUM('2013 - 8760 Load'!_Day555)</f>
        <v>19193.999999999996</v>
      </c>
      <c r="C196" s="8">
        <v>677.04</v>
      </c>
      <c r="D196" s="8">
        <v>632.52</v>
      </c>
      <c r="E196" s="8">
        <v>605.64</v>
      </c>
      <c r="F196" s="8">
        <v>609.41999999999996</v>
      </c>
      <c r="G196" s="8">
        <v>613.20000000000005</v>
      </c>
      <c r="H196" s="8">
        <v>632.1</v>
      </c>
      <c r="I196" s="8">
        <v>703.5</v>
      </c>
      <c r="J196" s="8">
        <v>779.94</v>
      </c>
      <c r="K196" s="8">
        <v>795.06</v>
      </c>
      <c r="L196" s="8">
        <v>791.7</v>
      </c>
      <c r="M196" s="8">
        <v>805.14</v>
      </c>
      <c r="N196" s="8">
        <v>848.4</v>
      </c>
      <c r="O196" s="8">
        <v>866.46</v>
      </c>
      <c r="P196" s="8">
        <v>887.04</v>
      </c>
      <c r="Q196" s="8">
        <v>920.22</v>
      </c>
      <c r="R196" s="8">
        <v>937.44</v>
      </c>
      <c r="S196" s="8">
        <v>1002.96</v>
      </c>
      <c r="T196" s="8">
        <v>984.06</v>
      </c>
      <c r="U196" s="8">
        <v>958.02</v>
      </c>
      <c r="V196" s="8">
        <v>932.4</v>
      </c>
      <c r="W196" s="8">
        <v>940.8</v>
      </c>
      <c r="X196" s="8">
        <v>836.64</v>
      </c>
      <c r="Y196" s="8">
        <v>761.04</v>
      </c>
      <c r="Z196" s="8">
        <v>673.26</v>
      </c>
    </row>
    <row r="197" spans="1:26" x14ac:dyDescent="0.25">
      <c r="A197" s="4">
        <v>41464</v>
      </c>
      <c r="B197" s="5">
        <f>SUM('2013 - 8760 Load'!_Day556)</f>
        <v>18848.760000000002</v>
      </c>
      <c r="C197" s="8">
        <v>629.58000000000004</v>
      </c>
      <c r="D197" s="8">
        <v>602.70000000000005</v>
      </c>
      <c r="E197" s="8">
        <v>576.66</v>
      </c>
      <c r="F197" s="8">
        <v>569.94000000000005</v>
      </c>
      <c r="G197" s="8">
        <v>584.22</v>
      </c>
      <c r="H197" s="8">
        <v>609.84</v>
      </c>
      <c r="I197" s="8">
        <v>665.7</v>
      </c>
      <c r="J197" s="8">
        <v>692.58</v>
      </c>
      <c r="K197" s="8">
        <v>726.18</v>
      </c>
      <c r="L197" s="8">
        <v>779.1</v>
      </c>
      <c r="M197" s="8">
        <v>824.46</v>
      </c>
      <c r="N197" s="8">
        <v>861.42</v>
      </c>
      <c r="O197" s="8">
        <v>917.7</v>
      </c>
      <c r="P197" s="8">
        <v>911.4</v>
      </c>
      <c r="Q197" s="8">
        <v>913.92</v>
      </c>
      <c r="R197" s="8">
        <v>942.06</v>
      </c>
      <c r="S197" s="8">
        <v>993.72</v>
      </c>
      <c r="T197" s="8">
        <v>981.96</v>
      </c>
      <c r="U197" s="8">
        <v>947.1</v>
      </c>
      <c r="V197" s="8">
        <v>968.52</v>
      </c>
      <c r="W197" s="8">
        <v>929.04</v>
      </c>
      <c r="X197" s="8">
        <v>816.06</v>
      </c>
      <c r="Y197" s="8">
        <v>740.88</v>
      </c>
      <c r="Z197" s="8">
        <v>664.02</v>
      </c>
    </row>
    <row r="198" spans="1:26" x14ac:dyDescent="0.25">
      <c r="A198" s="4">
        <v>41465</v>
      </c>
      <c r="B198" s="5">
        <f>SUM('2013 - 8760 Load'!_Day557)</f>
        <v>19209.120000000003</v>
      </c>
      <c r="C198" s="8">
        <v>635.88</v>
      </c>
      <c r="D198" s="8">
        <v>601.44000000000005</v>
      </c>
      <c r="E198" s="8">
        <v>577.91999999999996</v>
      </c>
      <c r="F198" s="8">
        <v>569.1</v>
      </c>
      <c r="G198" s="8">
        <v>594.72</v>
      </c>
      <c r="H198" s="8">
        <v>625.38</v>
      </c>
      <c r="I198" s="8">
        <v>687.12</v>
      </c>
      <c r="J198" s="8">
        <v>746.76</v>
      </c>
      <c r="K198" s="8">
        <v>784.14</v>
      </c>
      <c r="L198" s="8">
        <v>808.92</v>
      </c>
      <c r="M198" s="8">
        <v>840</v>
      </c>
      <c r="N198" s="8">
        <v>833.7</v>
      </c>
      <c r="O198" s="8">
        <v>874.86</v>
      </c>
      <c r="P198" s="8">
        <v>909.3</v>
      </c>
      <c r="Q198" s="8">
        <v>923.58</v>
      </c>
      <c r="R198" s="8">
        <v>945.84</v>
      </c>
      <c r="S198" s="8">
        <v>961.38</v>
      </c>
      <c r="T198" s="8">
        <v>995.82</v>
      </c>
      <c r="U198" s="8">
        <v>958.44</v>
      </c>
      <c r="V198" s="8">
        <v>987</v>
      </c>
      <c r="W198" s="8">
        <v>1002.96</v>
      </c>
      <c r="X198" s="8">
        <v>879.48</v>
      </c>
      <c r="Y198" s="8">
        <v>774.48</v>
      </c>
      <c r="Z198" s="8">
        <v>690.9</v>
      </c>
    </row>
    <row r="199" spans="1:26" x14ac:dyDescent="0.25">
      <c r="A199" s="4">
        <v>41466</v>
      </c>
      <c r="B199" s="5">
        <f>SUM('2013 - 8760 Load'!_Day558)</f>
        <v>18253.620000000003</v>
      </c>
      <c r="C199" s="8">
        <v>645.96</v>
      </c>
      <c r="D199" s="8">
        <v>623.28</v>
      </c>
      <c r="E199" s="8">
        <v>593.46</v>
      </c>
      <c r="F199" s="8">
        <v>588.41999999999996</v>
      </c>
      <c r="G199" s="8">
        <v>614.04</v>
      </c>
      <c r="H199" s="8">
        <v>648.05999999999995</v>
      </c>
      <c r="I199" s="8">
        <v>699.72</v>
      </c>
      <c r="J199" s="8">
        <v>711.06</v>
      </c>
      <c r="K199" s="8">
        <v>750.54</v>
      </c>
      <c r="L199" s="8">
        <v>760.2</v>
      </c>
      <c r="M199" s="8">
        <v>773.22</v>
      </c>
      <c r="N199" s="8">
        <v>834.96</v>
      </c>
      <c r="O199" s="8">
        <v>852.6</v>
      </c>
      <c r="P199" s="8">
        <v>848.4</v>
      </c>
      <c r="Q199" s="8">
        <v>864.36</v>
      </c>
      <c r="R199" s="8">
        <v>887.46</v>
      </c>
      <c r="S199" s="8">
        <v>931.56</v>
      </c>
      <c r="T199" s="8">
        <v>882.42</v>
      </c>
      <c r="U199" s="8">
        <v>896.28</v>
      </c>
      <c r="V199" s="8">
        <v>889.98</v>
      </c>
      <c r="W199" s="8">
        <v>872.76</v>
      </c>
      <c r="X199" s="8">
        <v>777.84</v>
      </c>
      <c r="Y199" s="8">
        <v>689.64</v>
      </c>
      <c r="Z199" s="8">
        <v>617.4</v>
      </c>
    </row>
    <row r="200" spans="1:26" x14ac:dyDescent="0.25">
      <c r="A200" s="4">
        <v>41467</v>
      </c>
      <c r="B200" s="5">
        <f>SUM('2013 - 8760 Load'!_Day559)</f>
        <v>17175.480000000003</v>
      </c>
      <c r="C200" s="8">
        <v>576.24</v>
      </c>
      <c r="D200" s="8">
        <v>540.96</v>
      </c>
      <c r="E200" s="8">
        <v>530.88</v>
      </c>
      <c r="F200" s="8">
        <v>519.96</v>
      </c>
      <c r="G200" s="8">
        <v>530.46</v>
      </c>
      <c r="H200" s="8">
        <v>546.84</v>
      </c>
      <c r="I200" s="8">
        <v>600.17999999999995</v>
      </c>
      <c r="J200" s="8">
        <v>651.84</v>
      </c>
      <c r="K200" s="8">
        <v>697.62</v>
      </c>
      <c r="L200" s="8">
        <v>692.16</v>
      </c>
      <c r="M200" s="8">
        <v>739.2</v>
      </c>
      <c r="N200" s="8">
        <v>768.6</v>
      </c>
      <c r="O200" s="8">
        <v>752.64</v>
      </c>
      <c r="P200" s="8">
        <v>775.32</v>
      </c>
      <c r="Q200" s="8">
        <v>780.78</v>
      </c>
      <c r="R200" s="8">
        <v>811.44</v>
      </c>
      <c r="S200" s="8">
        <v>821.1</v>
      </c>
      <c r="T200" s="8">
        <v>892.5</v>
      </c>
      <c r="U200" s="8">
        <v>883.26</v>
      </c>
      <c r="V200" s="8">
        <v>918.12</v>
      </c>
      <c r="W200" s="8">
        <v>907.62</v>
      </c>
      <c r="X200" s="8">
        <v>821.1</v>
      </c>
      <c r="Y200" s="8">
        <v>758.1</v>
      </c>
      <c r="Z200" s="8">
        <v>658.56</v>
      </c>
    </row>
    <row r="201" spans="1:26" x14ac:dyDescent="0.25">
      <c r="A201" s="4">
        <v>41468</v>
      </c>
      <c r="B201" s="5">
        <f>SUM('2013 - 8760 Load'!_Day560)</f>
        <v>17364.059999999998</v>
      </c>
      <c r="C201" s="8">
        <v>615.29999999999995</v>
      </c>
      <c r="D201" s="8">
        <v>589.26</v>
      </c>
      <c r="E201" s="8">
        <v>574.98</v>
      </c>
      <c r="F201" s="8">
        <v>559.44000000000005</v>
      </c>
      <c r="G201" s="8">
        <v>553.55999999999995</v>
      </c>
      <c r="H201" s="8">
        <v>574.55999999999995</v>
      </c>
      <c r="I201" s="8">
        <v>609.41999999999996</v>
      </c>
      <c r="J201" s="8">
        <v>666.12</v>
      </c>
      <c r="K201" s="8">
        <v>718.2</v>
      </c>
      <c r="L201" s="8">
        <v>739.2</v>
      </c>
      <c r="M201" s="8">
        <v>757.68</v>
      </c>
      <c r="N201" s="8">
        <v>781.62</v>
      </c>
      <c r="O201" s="8">
        <v>764.82</v>
      </c>
      <c r="P201" s="8">
        <v>747.6</v>
      </c>
      <c r="Q201" s="8">
        <v>744.66</v>
      </c>
      <c r="R201" s="8">
        <v>772.38</v>
      </c>
      <c r="S201" s="8">
        <v>819</v>
      </c>
      <c r="T201" s="8">
        <v>856.8</v>
      </c>
      <c r="U201" s="8">
        <v>875.28</v>
      </c>
      <c r="V201" s="8">
        <v>869.82</v>
      </c>
      <c r="W201" s="8">
        <v>903.84</v>
      </c>
      <c r="X201" s="8">
        <v>850.92</v>
      </c>
      <c r="Y201" s="8">
        <v>759.78</v>
      </c>
      <c r="Z201" s="8">
        <v>659.82</v>
      </c>
    </row>
    <row r="202" spans="1:26" x14ac:dyDescent="0.25">
      <c r="A202" s="4">
        <v>41469</v>
      </c>
      <c r="B202" s="5">
        <f>SUM('2013 - 8760 Load'!_Day561)</f>
        <v>20148.66</v>
      </c>
      <c r="C202" s="8">
        <v>594.29999999999995</v>
      </c>
      <c r="D202" s="8">
        <v>580.86</v>
      </c>
      <c r="E202" s="8">
        <v>556.08000000000004</v>
      </c>
      <c r="F202" s="8">
        <v>556.08000000000004</v>
      </c>
      <c r="G202" s="8">
        <v>555.24</v>
      </c>
      <c r="H202" s="8">
        <v>562.79999999999995</v>
      </c>
      <c r="I202" s="8">
        <v>634.20000000000005</v>
      </c>
      <c r="J202" s="8">
        <v>724.5</v>
      </c>
      <c r="K202" s="8">
        <v>809.76</v>
      </c>
      <c r="L202" s="8">
        <v>918.96</v>
      </c>
      <c r="M202" s="8">
        <v>960.54</v>
      </c>
      <c r="N202" s="8">
        <v>968.52</v>
      </c>
      <c r="O202" s="8">
        <v>976.08</v>
      </c>
      <c r="P202" s="8">
        <v>1007.58</v>
      </c>
      <c r="Q202" s="8">
        <v>1029.8399999999999</v>
      </c>
      <c r="R202" s="8">
        <v>1062.18</v>
      </c>
      <c r="S202" s="8">
        <v>1054.2</v>
      </c>
      <c r="T202" s="8">
        <v>1066.8</v>
      </c>
      <c r="U202" s="8">
        <v>1031.94</v>
      </c>
      <c r="V202" s="8">
        <v>1026.06</v>
      </c>
      <c r="W202" s="8">
        <v>1035.3</v>
      </c>
      <c r="X202" s="8">
        <v>918.54</v>
      </c>
      <c r="Y202" s="8">
        <v>809.76</v>
      </c>
      <c r="Z202" s="8">
        <v>708.54</v>
      </c>
    </row>
    <row r="203" spans="1:26" x14ac:dyDescent="0.25">
      <c r="A203" s="4">
        <v>41470</v>
      </c>
      <c r="B203" s="5">
        <f>SUM('2013 - 8760 Load'!_Day562)</f>
        <v>20874.84</v>
      </c>
      <c r="C203" s="8">
        <v>650.58000000000004</v>
      </c>
      <c r="D203" s="8">
        <v>627.05999999999995</v>
      </c>
      <c r="E203" s="8">
        <v>601.02</v>
      </c>
      <c r="F203" s="8">
        <v>590.1</v>
      </c>
      <c r="G203" s="8">
        <v>603.54</v>
      </c>
      <c r="H203" s="8">
        <v>626.64</v>
      </c>
      <c r="I203" s="8">
        <v>700.56</v>
      </c>
      <c r="J203" s="8">
        <v>742.14</v>
      </c>
      <c r="K203" s="8">
        <v>807.66</v>
      </c>
      <c r="L203" s="8">
        <v>886.2</v>
      </c>
      <c r="M203" s="8">
        <v>938.28</v>
      </c>
      <c r="N203" s="8">
        <v>1001.28</v>
      </c>
      <c r="O203" s="8">
        <v>1015.98</v>
      </c>
      <c r="P203" s="8">
        <v>1047.06</v>
      </c>
      <c r="Q203" s="8">
        <v>1034.8800000000001</v>
      </c>
      <c r="R203" s="8">
        <v>1093.68</v>
      </c>
      <c r="S203" s="8">
        <v>1133.58</v>
      </c>
      <c r="T203" s="8">
        <v>1124.76</v>
      </c>
      <c r="U203" s="8">
        <v>1089.9000000000001</v>
      </c>
      <c r="V203" s="8">
        <v>1079.82</v>
      </c>
      <c r="W203" s="8">
        <v>1049.1600000000001</v>
      </c>
      <c r="X203" s="8">
        <v>914.76</v>
      </c>
      <c r="Y203" s="8">
        <v>795.48</v>
      </c>
      <c r="Z203" s="8">
        <v>720.72</v>
      </c>
    </row>
    <row r="204" spans="1:26" x14ac:dyDescent="0.25">
      <c r="A204" s="4">
        <v>41471</v>
      </c>
      <c r="B204" s="5">
        <f>SUM('2013 - 8760 Load'!_Day563)</f>
        <v>20482.14</v>
      </c>
      <c r="C204" s="8">
        <v>664.86</v>
      </c>
      <c r="D204" s="8">
        <v>639.66</v>
      </c>
      <c r="E204" s="8">
        <v>606.9</v>
      </c>
      <c r="F204" s="8">
        <v>579.17999999999995</v>
      </c>
      <c r="G204" s="8">
        <v>586.74</v>
      </c>
      <c r="H204" s="8">
        <v>604.38</v>
      </c>
      <c r="I204" s="8">
        <v>661.92</v>
      </c>
      <c r="J204" s="8">
        <v>729.96</v>
      </c>
      <c r="K204" s="8">
        <v>803.46</v>
      </c>
      <c r="L204" s="8">
        <v>854.28</v>
      </c>
      <c r="M204" s="8">
        <v>921.06</v>
      </c>
      <c r="N204" s="8">
        <v>968.94</v>
      </c>
      <c r="O204" s="8">
        <v>994.98</v>
      </c>
      <c r="P204" s="8">
        <v>1008.84</v>
      </c>
      <c r="Q204" s="8">
        <v>1047.48</v>
      </c>
      <c r="R204" s="8">
        <v>1030.68</v>
      </c>
      <c r="S204" s="8">
        <v>1078.56</v>
      </c>
      <c r="T204" s="8">
        <v>1082.76</v>
      </c>
      <c r="U204" s="8">
        <v>1052.94</v>
      </c>
      <c r="V204" s="8">
        <v>1045.8</v>
      </c>
      <c r="W204" s="8">
        <v>1042.44</v>
      </c>
      <c r="X204" s="8">
        <v>942.48</v>
      </c>
      <c r="Y204" s="8">
        <v>808.5</v>
      </c>
      <c r="Z204" s="8">
        <v>725.34</v>
      </c>
    </row>
    <row r="205" spans="1:26" x14ac:dyDescent="0.25">
      <c r="A205" s="4">
        <v>41472</v>
      </c>
      <c r="B205" s="5">
        <f>SUM('2013 - 8760 Load'!_Day564)</f>
        <v>21028.560000000001</v>
      </c>
      <c r="C205" s="8">
        <v>673.26</v>
      </c>
      <c r="D205" s="8">
        <v>632.52</v>
      </c>
      <c r="E205" s="8">
        <v>594.29999999999995</v>
      </c>
      <c r="F205" s="8">
        <v>584.22</v>
      </c>
      <c r="G205" s="8">
        <v>598.5</v>
      </c>
      <c r="H205" s="8">
        <v>634.20000000000005</v>
      </c>
      <c r="I205" s="8">
        <v>682.08</v>
      </c>
      <c r="J205" s="8">
        <v>747.18</v>
      </c>
      <c r="K205" s="8">
        <v>790.44</v>
      </c>
      <c r="L205" s="8">
        <v>832.02</v>
      </c>
      <c r="M205" s="8">
        <v>923.58</v>
      </c>
      <c r="N205" s="8">
        <v>987</v>
      </c>
      <c r="O205" s="8">
        <v>1016.82</v>
      </c>
      <c r="P205" s="8">
        <v>1024.3800000000001</v>
      </c>
      <c r="Q205" s="8">
        <v>1024.8</v>
      </c>
      <c r="R205" s="8">
        <v>1058.4000000000001</v>
      </c>
      <c r="S205" s="8">
        <v>1113.8399999999999</v>
      </c>
      <c r="T205" s="8">
        <v>1115.0999999999999</v>
      </c>
      <c r="U205" s="8">
        <v>1137.78</v>
      </c>
      <c r="V205" s="8">
        <v>1120.56</v>
      </c>
      <c r="W205" s="8">
        <v>1089.06</v>
      </c>
      <c r="X205" s="8">
        <v>972.3</v>
      </c>
      <c r="Y205" s="8">
        <v>879.9</v>
      </c>
      <c r="Z205" s="8">
        <v>796.32</v>
      </c>
    </row>
    <row r="206" spans="1:26" x14ac:dyDescent="0.25">
      <c r="A206" s="4">
        <v>41473</v>
      </c>
      <c r="B206" s="5">
        <f>SUM('2013 - 8760 Load'!_Day565)</f>
        <v>22764.000000000004</v>
      </c>
      <c r="C206" s="8">
        <v>741.72</v>
      </c>
      <c r="D206" s="8">
        <v>701.82</v>
      </c>
      <c r="E206" s="8">
        <v>685.44</v>
      </c>
      <c r="F206" s="8">
        <v>652.26</v>
      </c>
      <c r="G206" s="8">
        <v>670.74</v>
      </c>
      <c r="H206" s="8">
        <v>686.28</v>
      </c>
      <c r="I206" s="8">
        <v>727.86</v>
      </c>
      <c r="J206" s="8">
        <v>815.64</v>
      </c>
      <c r="K206" s="8">
        <v>885.78</v>
      </c>
      <c r="L206" s="8">
        <v>939.12</v>
      </c>
      <c r="M206" s="8">
        <v>1000.02</v>
      </c>
      <c r="N206" s="8">
        <v>1031.52</v>
      </c>
      <c r="O206" s="8">
        <v>1061.76</v>
      </c>
      <c r="P206" s="8">
        <v>1065.96</v>
      </c>
      <c r="Q206" s="8">
        <v>1097.8800000000001</v>
      </c>
      <c r="R206" s="8">
        <v>1128.54</v>
      </c>
      <c r="S206" s="8">
        <v>1178.94</v>
      </c>
      <c r="T206" s="8">
        <v>1201.6199999999999</v>
      </c>
      <c r="U206" s="8">
        <v>1223.8800000000001</v>
      </c>
      <c r="V206" s="8">
        <v>1209.18</v>
      </c>
      <c r="W206" s="8">
        <v>1181.04</v>
      </c>
      <c r="X206" s="8">
        <v>1078.1400000000001</v>
      </c>
      <c r="Y206" s="8">
        <v>963.9</v>
      </c>
      <c r="Z206" s="8">
        <v>834.96</v>
      </c>
    </row>
    <row r="207" spans="1:26" x14ac:dyDescent="0.25">
      <c r="A207" s="4">
        <v>41474</v>
      </c>
      <c r="B207" s="5">
        <f>SUM('2013 - 8760 Load'!_Day566)</f>
        <v>24112.619999999995</v>
      </c>
      <c r="C207" s="8">
        <v>761.46</v>
      </c>
      <c r="D207" s="8">
        <v>718.62</v>
      </c>
      <c r="E207" s="8">
        <v>690.06</v>
      </c>
      <c r="F207" s="8">
        <v>664.02</v>
      </c>
      <c r="G207" s="8">
        <v>669.06</v>
      </c>
      <c r="H207" s="8">
        <v>707.7</v>
      </c>
      <c r="I207" s="8">
        <v>755.16</v>
      </c>
      <c r="J207" s="8">
        <v>795.9</v>
      </c>
      <c r="K207" s="8">
        <v>892.92</v>
      </c>
      <c r="L207" s="8">
        <v>993.3</v>
      </c>
      <c r="M207" s="8">
        <v>1074.3599999999999</v>
      </c>
      <c r="N207" s="8">
        <v>1126.8599999999999</v>
      </c>
      <c r="O207" s="8">
        <v>1155.42</v>
      </c>
      <c r="P207" s="8">
        <v>1194.06</v>
      </c>
      <c r="Q207" s="8">
        <v>1224.3</v>
      </c>
      <c r="R207" s="8">
        <v>1222.6199999999999</v>
      </c>
      <c r="S207" s="8">
        <v>1245.72</v>
      </c>
      <c r="T207" s="8">
        <v>1266.72</v>
      </c>
      <c r="U207" s="8">
        <v>1264.6199999999999</v>
      </c>
      <c r="V207" s="8">
        <v>1222.6199999999999</v>
      </c>
      <c r="W207" s="8">
        <v>1249.5</v>
      </c>
      <c r="X207" s="8">
        <v>1186.08</v>
      </c>
      <c r="Y207" s="8">
        <v>1075.2</v>
      </c>
      <c r="Z207" s="8">
        <v>956.34</v>
      </c>
    </row>
    <row r="208" spans="1:26" x14ac:dyDescent="0.25">
      <c r="A208" s="4">
        <v>41475</v>
      </c>
      <c r="B208" s="5">
        <f>SUM('2013 - 8760 Load'!_Day567)</f>
        <v>24259.199999999997</v>
      </c>
      <c r="C208" s="8">
        <v>874.02</v>
      </c>
      <c r="D208" s="8">
        <v>826.98</v>
      </c>
      <c r="E208" s="8">
        <v>790.02</v>
      </c>
      <c r="F208" s="8">
        <v>775.74</v>
      </c>
      <c r="G208" s="8">
        <v>770.28</v>
      </c>
      <c r="H208" s="8">
        <v>784.14</v>
      </c>
      <c r="I208" s="8">
        <v>813.54</v>
      </c>
      <c r="J208" s="8">
        <v>889.56</v>
      </c>
      <c r="K208" s="8">
        <v>984.48</v>
      </c>
      <c r="L208" s="8">
        <v>1045.3800000000001</v>
      </c>
      <c r="M208" s="8">
        <v>1105.44</v>
      </c>
      <c r="N208" s="8">
        <v>1136.0999999999999</v>
      </c>
      <c r="O208" s="8">
        <v>1133.1600000000001</v>
      </c>
      <c r="P208" s="8">
        <v>1166.76</v>
      </c>
      <c r="Q208" s="8">
        <v>1209.18</v>
      </c>
      <c r="R208" s="8">
        <v>1217.1600000000001</v>
      </c>
      <c r="S208" s="8">
        <v>1231.8599999999999</v>
      </c>
      <c r="T208" s="8">
        <v>1217.1600000000001</v>
      </c>
      <c r="U208" s="8">
        <v>1168.8599999999999</v>
      </c>
      <c r="V208" s="8">
        <v>1180.6199999999999</v>
      </c>
      <c r="W208" s="8">
        <v>1168.02</v>
      </c>
      <c r="X208" s="8">
        <v>1038.6600000000001</v>
      </c>
      <c r="Y208" s="8">
        <v>906.78</v>
      </c>
      <c r="Z208" s="8">
        <v>825.3</v>
      </c>
    </row>
    <row r="209" spans="1:26" x14ac:dyDescent="0.25">
      <c r="A209" s="4">
        <v>41476</v>
      </c>
      <c r="B209" s="5">
        <f>SUM('2013 - 8760 Load'!_Day568)</f>
        <v>20154.539999999997</v>
      </c>
      <c r="C209" s="8">
        <v>732.9</v>
      </c>
      <c r="D209" s="8">
        <v>692.58</v>
      </c>
      <c r="E209" s="8">
        <v>648.05999999999995</v>
      </c>
      <c r="F209" s="8">
        <v>619.5</v>
      </c>
      <c r="G209" s="8">
        <v>605.22</v>
      </c>
      <c r="H209" s="8">
        <v>592.62</v>
      </c>
      <c r="I209" s="8">
        <v>650.16</v>
      </c>
      <c r="J209" s="8">
        <v>743.82</v>
      </c>
      <c r="K209" s="8">
        <v>821.1</v>
      </c>
      <c r="L209" s="8">
        <v>886.2</v>
      </c>
      <c r="M209" s="8">
        <v>924.84</v>
      </c>
      <c r="N209" s="8">
        <v>964.32</v>
      </c>
      <c r="O209" s="8">
        <v>994.98</v>
      </c>
      <c r="P209" s="8">
        <v>1022.7</v>
      </c>
      <c r="Q209" s="8">
        <v>1043.7</v>
      </c>
      <c r="R209" s="8">
        <v>1058.82</v>
      </c>
      <c r="S209" s="8">
        <v>1021.86</v>
      </c>
      <c r="T209" s="8">
        <v>982.38</v>
      </c>
      <c r="U209" s="8">
        <v>976.5</v>
      </c>
      <c r="V209" s="8">
        <v>968.94</v>
      </c>
      <c r="W209" s="8">
        <v>922.32</v>
      </c>
      <c r="X209" s="8">
        <v>846.3</v>
      </c>
      <c r="Y209" s="8">
        <v>758.94</v>
      </c>
      <c r="Z209" s="8">
        <v>675.78</v>
      </c>
    </row>
    <row r="210" spans="1:26" x14ac:dyDescent="0.25">
      <c r="A210" s="4">
        <v>41477</v>
      </c>
      <c r="B210" s="5">
        <f>SUM('2013 - 8760 Load'!_Day569)</f>
        <v>17929.379999999994</v>
      </c>
      <c r="C210" s="8">
        <v>636.29999999999995</v>
      </c>
      <c r="D210" s="8">
        <v>598.5</v>
      </c>
      <c r="E210" s="8">
        <v>577.5</v>
      </c>
      <c r="F210" s="8">
        <v>564.48</v>
      </c>
      <c r="G210" s="8">
        <v>582.54</v>
      </c>
      <c r="H210" s="8">
        <v>610.67999999999995</v>
      </c>
      <c r="I210" s="8">
        <v>646.38</v>
      </c>
      <c r="J210" s="8">
        <v>658.98</v>
      </c>
      <c r="K210" s="8">
        <v>721.56</v>
      </c>
      <c r="L210" s="8">
        <v>721.98</v>
      </c>
      <c r="M210" s="8">
        <v>757.26</v>
      </c>
      <c r="N210" s="8">
        <v>815.22</v>
      </c>
      <c r="O210" s="8">
        <v>821.1</v>
      </c>
      <c r="P210" s="8">
        <v>848.4</v>
      </c>
      <c r="Q210" s="8">
        <v>855.96</v>
      </c>
      <c r="R210" s="8">
        <v>871.5</v>
      </c>
      <c r="S210" s="8">
        <v>894.6</v>
      </c>
      <c r="T210" s="8">
        <v>926.52</v>
      </c>
      <c r="U210" s="8">
        <v>906.78</v>
      </c>
      <c r="V210" s="8">
        <v>903.84</v>
      </c>
      <c r="W210" s="8">
        <v>857.22</v>
      </c>
      <c r="X210" s="8">
        <v>795.9</v>
      </c>
      <c r="Y210" s="8">
        <v>703.92</v>
      </c>
      <c r="Z210" s="8">
        <v>652.26</v>
      </c>
    </row>
    <row r="211" spans="1:26" x14ac:dyDescent="0.25">
      <c r="A211" s="4">
        <v>41478</v>
      </c>
      <c r="B211" s="5">
        <f>SUM('2013 - 8760 Load'!_Day570)</f>
        <v>18785.339999999997</v>
      </c>
      <c r="C211" s="8">
        <v>617.4</v>
      </c>
      <c r="D211" s="8">
        <v>596.82000000000005</v>
      </c>
      <c r="E211" s="8">
        <v>577.91999999999996</v>
      </c>
      <c r="F211" s="8">
        <v>567</v>
      </c>
      <c r="G211" s="8">
        <v>596.4</v>
      </c>
      <c r="H211" s="8">
        <v>621.6</v>
      </c>
      <c r="I211" s="8">
        <v>663.18</v>
      </c>
      <c r="J211" s="8">
        <v>713.16</v>
      </c>
      <c r="K211" s="8">
        <v>763.98</v>
      </c>
      <c r="L211" s="8">
        <v>816.06</v>
      </c>
      <c r="M211" s="8">
        <v>847.56</v>
      </c>
      <c r="N211" s="8">
        <v>866.46</v>
      </c>
      <c r="O211" s="8">
        <v>880.74</v>
      </c>
      <c r="P211" s="8">
        <v>903</v>
      </c>
      <c r="Q211" s="8">
        <v>889.98</v>
      </c>
      <c r="R211" s="8">
        <v>929.88</v>
      </c>
      <c r="S211" s="8">
        <v>945.42</v>
      </c>
      <c r="T211" s="8">
        <v>924</v>
      </c>
      <c r="U211" s="8">
        <v>933.24</v>
      </c>
      <c r="V211" s="8">
        <v>962.22</v>
      </c>
      <c r="W211" s="8">
        <v>939.96</v>
      </c>
      <c r="X211" s="8">
        <v>837.9</v>
      </c>
      <c r="Y211" s="8">
        <v>740.04</v>
      </c>
      <c r="Z211" s="8">
        <v>651.41999999999996</v>
      </c>
    </row>
    <row r="212" spans="1:26" x14ac:dyDescent="0.25">
      <c r="A212" s="4">
        <v>41479</v>
      </c>
      <c r="B212" s="5">
        <f>SUM('2013 - 8760 Load'!_Day571)</f>
        <v>16235.940000000006</v>
      </c>
      <c r="C212" s="8">
        <v>606.9</v>
      </c>
      <c r="D212" s="8">
        <v>590.52</v>
      </c>
      <c r="E212" s="8">
        <v>567.84</v>
      </c>
      <c r="F212" s="8">
        <v>557.34</v>
      </c>
      <c r="G212" s="8">
        <v>569.52</v>
      </c>
      <c r="H212" s="8">
        <v>583.79999999999995</v>
      </c>
      <c r="I212" s="8">
        <v>631.67999999999995</v>
      </c>
      <c r="J212" s="8">
        <v>686.28</v>
      </c>
      <c r="K212" s="8">
        <v>711.48</v>
      </c>
      <c r="L212" s="8">
        <v>708.54</v>
      </c>
      <c r="M212" s="8">
        <v>696.36</v>
      </c>
      <c r="N212" s="8">
        <v>723.66</v>
      </c>
      <c r="O212" s="8">
        <v>725.34</v>
      </c>
      <c r="P212" s="8">
        <v>737.52</v>
      </c>
      <c r="Q212" s="8">
        <v>740.46</v>
      </c>
      <c r="R212" s="8">
        <v>727.02</v>
      </c>
      <c r="S212" s="8">
        <v>770.28</v>
      </c>
      <c r="T212" s="8">
        <v>782.46</v>
      </c>
      <c r="U212" s="8">
        <v>739.2</v>
      </c>
      <c r="V212" s="8">
        <v>757.68</v>
      </c>
      <c r="W212" s="8">
        <v>770.28</v>
      </c>
      <c r="X212" s="8">
        <v>680.82</v>
      </c>
      <c r="Y212" s="8">
        <v>611.52</v>
      </c>
      <c r="Z212" s="8">
        <v>559.44000000000005</v>
      </c>
    </row>
    <row r="213" spans="1:26" x14ac:dyDescent="0.25">
      <c r="A213" s="4">
        <v>41480</v>
      </c>
      <c r="B213" s="5">
        <f>SUM('2013 - 8760 Load'!_Day572)</f>
        <v>15133.859999999999</v>
      </c>
      <c r="C213" s="8">
        <v>510.72</v>
      </c>
      <c r="D213" s="8">
        <v>496.86</v>
      </c>
      <c r="E213" s="8">
        <v>482.58</v>
      </c>
      <c r="F213" s="8">
        <v>483.84</v>
      </c>
      <c r="G213" s="8">
        <v>494.34</v>
      </c>
      <c r="H213" s="8">
        <v>530.04</v>
      </c>
      <c r="I213" s="8">
        <v>583.38</v>
      </c>
      <c r="J213" s="8">
        <v>616.14</v>
      </c>
      <c r="K213" s="8">
        <v>645.12</v>
      </c>
      <c r="L213" s="8">
        <v>656.46</v>
      </c>
      <c r="M213" s="8">
        <v>678.72</v>
      </c>
      <c r="N213" s="8">
        <v>688.8</v>
      </c>
      <c r="O213" s="8">
        <v>687.12</v>
      </c>
      <c r="P213" s="8">
        <v>672</v>
      </c>
      <c r="Q213" s="8">
        <v>658.56</v>
      </c>
      <c r="R213" s="8">
        <v>660.66</v>
      </c>
      <c r="S213" s="8">
        <v>697.62</v>
      </c>
      <c r="T213" s="8">
        <v>745.08</v>
      </c>
      <c r="U213" s="8">
        <v>725.34</v>
      </c>
      <c r="V213" s="8">
        <v>763.56</v>
      </c>
      <c r="W213" s="8">
        <v>763.14</v>
      </c>
      <c r="X213" s="8">
        <v>708.54</v>
      </c>
      <c r="Y213" s="8">
        <v>630</v>
      </c>
      <c r="Z213" s="8">
        <v>555.24</v>
      </c>
    </row>
    <row r="214" spans="1:26" x14ac:dyDescent="0.25">
      <c r="A214" s="4">
        <v>41481</v>
      </c>
      <c r="B214" s="5">
        <f>SUM('2013 - 8760 Load'!_Day573)</f>
        <v>16404.78</v>
      </c>
      <c r="C214" s="8">
        <v>512.4</v>
      </c>
      <c r="D214" s="8">
        <v>504.42</v>
      </c>
      <c r="E214" s="8">
        <v>475.02</v>
      </c>
      <c r="F214" s="8">
        <v>469.56</v>
      </c>
      <c r="G214" s="8">
        <v>493.92</v>
      </c>
      <c r="H214" s="8">
        <v>517.86</v>
      </c>
      <c r="I214" s="8">
        <v>572.46</v>
      </c>
      <c r="J214" s="8">
        <v>620.34</v>
      </c>
      <c r="K214" s="8">
        <v>664.02</v>
      </c>
      <c r="L214" s="8">
        <v>651.84</v>
      </c>
      <c r="M214" s="8">
        <v>675.78</v>
      </c>
      <c r="N214" s="8">
        <v>714.42</v>
      </c>
      <c r="O214" s="8">
        <v>701.82</v>
      </c>
      <c r="P214" s="8">
        <v>708.12</v>
      </c>
      <c r="Q214" s="8">
        <v>754.74</v>
      </c>
      <c r="R214" s="8">
        <v>798.42</v>
      </c>
      <c r="S214" s="8">
        <v>839.16</v>
      </c>
      <c r="T214" s="8">
        <v>891.24</v>
      </c>
      <c r="U214" s="8">
        <v>863.52</v>
      </c>
      <c r="V214" s="8">
        <v>880.32</v>
      </c>
      <c r="W214" s="8">
        <v>899.64</v>
      </c>
      <c r="X214" s="8">
        <v>818.58</v>
      </c>
      <c r="Y214" s="8">
        <v>745.92</v>
      </c>
      <c r="Z214" s="8">
        <v>631.26</v>
      </c>
    </row>
    <row r="215" spans="1:26" x14ac:dyDescent="0.25">
      <c r="A215" s="4">
        <v>41482</v>
      </c>
      <c r="B215" s="5">
        <f>SUM('2013 - 8760 Load'!_Day574)</f>
        <v>17399.759999999998</v>
      </c>
      <c r="C215" s="8">
        <v>584.22</v>
      </c>
      <c r="D215" s="8">
        <v>559.86</v>
      </c>
      <c r="E215" s="8">
        <v>533.4</v>
      </c>
      <c r="F215" s="8">
        <v>527.1</v>
      </c>
      <c r="G215" s="8">
        <v>522.48</v>
      </c>
      <c r="H215" s="8">
        <v>540.96</v>
      </c>
      <c r="I215" s="8">
        <v>592.20000000000005</v>
      </c>
      <c r="J215" s="8">
        <v>684.6</v>
      </c>
      <c r="K215" s="8">
        <v>740.46</v>
      </c>
      <c r="L215" s="8">
        <v>736.68</v>
      </c>
      <c r="M215" s="8">
        <v>777.42</v>
      </c>
      <c r="N215" s="8">
        <v>808.5</v>
      </c>
      <c r="O215" s="8">
        <v>801.78</v>
      </c>
      <c r="P215" s="8">
        <v>799.68</v>
      </c>
      <c r="Q215" s="8">
        <v>816.9</v>
      </c>
      <c r="R215" s="8">
        <v>835.8</v>
      </c>
      <c r="S215" s="8">
        <v>839.16</v>
      </c>
      <c r="T215" s="8">
        <v>855.96</v>
      </c>
      <c r="U215" s="8">
        <v>851.34</v>
      </c>
      <c r="V215" s="8">
        <v>868.98</v>
      </c>
      <c r="W215" s="8">
        <v>884.1</v>
      </c>
      <c r="X215" s="8">
        <v>819</v>
      </c>
      <c r="Y215" s="8">
        <v>752.22</v>
      </c>
      <c r="Z215" s="8">
        <v>666.96</v>
      </c>
    </row>
    <row r="216" spans="1:26" x14ac:dyDescent="0.25">
      <c r="A216" s="4">
        <v>41483</v>
      </c>
      <c r="B216" s="5">
        <f>SUM('2013 - 8760 Load'!_Day575)</f>
        <v>17062.5</v>
      </c>
      <c r="C216" s="8">
        <v>601.02</v>
      </c>
      <c r="D216" s="8">
        <v>563.22</v>
      </c>
      <c r="E216" s="8">
        <v>541.79999999999995</v>
      </c>
      <c r="F216" s="8">
        <v>527.52</v>
      </c>
      <c r="G216" s="8">
        <v>534.24</v>
      </c>
      <c r="H216" s="8">
        <v>543.05999999999995</v>
      </c>
      <c r="I216" s="8">
        <v>600.6</v>
      </c>
      <c r="J216" s="8">
        <v>685.44</v>
      </c>
      <c r="K216" s="8">
        <v>779.52</v>
      </c>
      <c r="L216" s="8">
        <v>853.86</v>
      </c>
      <c r="M216" s="8">
        <v>840</v>
      </c>
      <c r="N216" s="8">
        <v>820.26</v>
      </c>
      <c r="O216" s="8">
        <v>788.34</v>
      </c>
      <c r="P216" s="8">
        <v>764.82</v>
      </c>
      <c r="Q216" s="8">
        <v>756</v>
      </c>
      <c r="R216" s="8">
        <v>800.1</v>
      </c>
      <c r="S216" s="8">
        <v>833.7</v>
      </c>
      <c r="T216" s="8">
        <v>828.66</v>
      </c>
      <c r="U216" s="8">
        <v>800.52</v>
      </c>
      <c r="V216" s="8">
        <v>826.14</v>
      </c>
      <c r="W216" s="8">
        <v>824.46</v>
      </c>
      <c r="X216" s="8">
        <v>714.84</v>
      </c>
      <c r="Y216" s="8">
        <v>646.79999999999995</v>
      </c>
      <c r="Z216" s="8">
        <v>587.58000000000004</v>
      </c>
    </row>
    <row r="217" spans="1:26" x14ac:dyDescent="0.25">
      <c r="A217" s="4">
        <v>41484</v>
      </c>
      <c r="B217" s="5">
        <f>SUM('2013 - 8760 Load'!_Day576)</f>
        <v>16189.32</v>
      </c>
      <c r="C217" s="8">
        <v>537.6</v>
      </c>
      <c r="D217" s="8">
        <v>525.84</v>
      </c>
      <c r="E217" s="8">
        <v>516.6</v>
      </c>
      <c r="F217" s="8">
        <v>507.78</v>
      </c>
      <c r="G217" s="8">
        <v>511.56</v>
      </c>
      <c r="H217" s="8">
        <v>559.02</v>
      </c>
      <c r="I217" s="8">
        <v>604.38</v>
      </c>
      <c r="J217" s="8">
        <v>640.08000000000004</v>
      </c>
      <c r="K217" s="8">
        <v>664.44</v>
      </c>
      <c r="L217" s="8">
        <v>714</v>
      </c>
      <c r="M217" s="8">
        <v>750.54</v>
      </c>
      <c r="N217" s="8">
        <v>749.28</v>
      </c>
      <c r="O217" s="8">
        <v>732.48</v>
      </c>
      <c r="P217" s="8">
        <v>757.26</v>
      </c>
      <c r="Q217" s="8">
        <v>737.52</v>
      </c>
      <c r="R217" s="8">
        <v>761.88</v>
      </c>
      <c r="S217" s="8">
        <v>795.9</v>
      </c>
      <c r="T217" s="8">
        <v>832.86</v>
      </c>
      <c r="U217" s="8">
        <v>779.1</v>
      </c>
      <c r="V217" s="8">
        <v>801.36</v>
      </c>
      <c r="W217" s="8">
        <v>791.28</v>
      </c>
      <c r="X217" s="8">
        <v>714</v>
      </c>
      <c r="Y217" s="8">
        <v>630.84</v>
      </c>
      <c r="Z217" s="8">
        <v>573.72</v>
      </c>
    </row>
    <row r="218" spans="1:26" x14ac:dyDescent="0.25">
      <c r="A218" s="4">
        <v>41485</v>
      </c>
      <c r="B218" s="5">
        <f>SUM('2013 - 8760 Load'!_Day577)</f>
        <v>15127.139999999998</v>
      </c>
      <c r="C218" s="8">
        <v>540.54</v>
      </c>
      <c r="D218" s="8">
        <v>509.04</v>
      </c>
      <c r="E218" s="8">
        <v>502.32</v>
      </c>
      <c r="F218" s="8">
        <v>479.64</v>
      </c>
      <c r="G218" s="8">
        <v>498.12</v>
      </c>
      <c r="H218" s="8">
        <v>534.66</v>
      </c>
      <c r="I218" s="8">
        <v>590.52</v>
      </c>
      <c r="J218" s="8">
        <v>604.79999999999995</v>
      </c>
      <c r="K218" s="8">
        <v>616.14</v>
      </c>
      <c r="L218" s="8">
        <v>651.41999999999996</v>
      </c>
      <c r="M218" s="8">
        <v>679.56</v>
      </c>
      <c r="N218" s="8">
        <v>669.48</v>
      </c>
      <c r="O218" s="8">
        <v>697.62</v>
      </c>
      <c r="P218" s="8">
        <v>701.82</v>
      </c>
      <c r="Q218" s="8">
        <v>700.56</v>
      </c>
      <c r="R218" s="8">
        <v>678.3</v>
      </c>
      <c r="S218" s="8">
        <v>724.5</v>
      </c>
      <c r="T218" s="8">
        <v>724.5</v>
      </c>
      <c r="U218" s="8">
        <v>730.8</v>
      </c>
      <c r="V218" s="8">
        <v>766.92</v>
      </c>
      <c r="W218" s="8">
        <v>753.9</v>
      </c>
      <c r="X218" s="8">
        <v>667.38</v>
      </c>
      <c r="Y218" s="8">
        <v>580.44000000000005</v>
      </c>
      <c r="Z218" s="8">
        <v>524.16</v>
      </c>
    </row>
    <row r="219" spans="1:26" x14ac:dyDescent="0.25">
      <c r="A219" s="4">
        <v>41486</v>
      </c>
      <c r="B219" s="5">
        <f>SUM('2013 - 8760 Load'!_Day578)</f>
        <v>15288.420000000002</v>
      </c>
      <c r="C219" s="8">
        <v>492.24</v>
      </c>
      <c r="D219" s="8">
        <v>480.48</v>
      </c>
      <c r="E219" s="8">
        <v>466.2</v>
      </c>
      <c r="F219" s="8">
        <v>465.78</v>
      </c>
      <c r="G219" s="8">
        <v>480.48</v>
      </c>
      <c r="H219" s="8">
        <v>523.32000000000005</v>
      </c>
      <c r="I219" s="8">
        <v>578.34</v>
      </c>
      <c r="J219" s="8">
        <v>614.88</v>
      </c>
      <c r="K219" s="8">
        <v>613.20000000000005</v>
      </c>
      <c r="L219" s="8">
        <v>626.22</v>
      </c>
      <c r="M219" s="8">
        <v>655.20000000000005</v>
      </c>
      <c r="N219" s="8">
        <v>696.78</v>
      </c>
      <c r="O219" s="8">
        <v>690.06</v>
      </c>
      <c r="P219" s="8">
        <v>693.84</v>
      </c>
      <c r="Q219" s="8">
        <v>696.36</v>
      </c>
      <c r="R219" s="8">
        <v>724.92</v>
      </c>
      <c r="S219" s="8">
        <v>748.44</v>
      </c>
      <c r="T219" s="8">
        <v>745.08</v>
      </c>
      <c r="U219" s="8">
        <v>743.82</v>
      </c>
      <c r="V219" s="8">
        <v>829.92</v>
      </c>
      <c r="W219" s="8">
        <v>790.86</v>
      </c>
      <c r="X219" s="8">
        <v>717.36</v>
      </c>
      <c r="Y219" s="8">
        <v>641.34</v>
      </c>
      <c r="Z219" s="8">
        <v>573.29999999999995</v>
      </c>
    </row>
    <row r="220" spans="1:26" x14ac:dyDescent="0.25">
      <c r="A220" s="4">
        <v>41487</v>
      </c>
      <c r="B220" s="5">
        <f>SUM('2013 - 8760 Load'!_Day579)</f>
        <v>15664.320000000002</v>
      </c>
      <c r="C220" s="8">
        <v>530.46</v>
      </c>
      <c r="D220" s="8">
        <v>522.48</v>
      </c>
      <c r="E220" s="8">
        <v>508.62</v>
      </c>
      <c r="F220" s="8">
        <v>492.24</v>
      </c>
      <c r="G220" s="8">
        <v>518.28</v>
      </c>
      <c r="H220" s="8">
        <v>535.91999999999996</v>
      </c>
      <c r="I220" s="8">
        <v>605.22</v>
      </c>
      <c r="J220" s="8">
        <v>653.52</v>
      </c>
      <c r="K220" s="8">
        <v>687.54</v>
      </c>
      <c r="L220" s="8">
        <v>690.06</v>
      </c>
      <c r="M220" s="8">
        <v>693</v>
      </c>
      <c r="N220" s="8">
        <v>687.54</v>
      </c>
      <c r="O220" s="8">
        <v>711.48</v>
      </c>
      <c r="P220" s="8">
        <v>714.42</v>
      </c>
      <c r="Q220" s="8">
        <v>687.96</v>
      </c>
      <c r="R220" s="8">
        <v>698.04</v>
      </c>
      <c r="S220" s="8">
        <v>744.66</v>
      </c>
      <c r="T220" s="8">
        <v>779.1</v>
      </c>
      <c r="U220" s="8">
        <v>771.54</v>
      </c>
      <c r="V220" s="8">
        <v>785.4</v>
      </c>
      <c r="W220" s="8">
        <v>766.92</v>
      </c>
      <c r="X220" s="8">
        <v>701.4</v>
      </c>
      <c r="Y220" s="8">
        <v>624.96</v>
      </c>
      <c r="Z220" s="8">
        <v>553.55999999999995</v>
      </c>
    </row>
    <row r="221" spans="1:26" x14ac:dyDescent="0.25">
      <c r="A221" s="4">
        <v>41488</v>
      </c>
      <c r="B221" s="5">
        <f>SUM('2013 - 8760 Load'!_Day580)</f>
        <v>16326.659999999998</v>
      </c>
      <c r="C221" s="8">
        <v>518.28</v>
      </c>
      <c r="D221" s="8">
        <v>505.68</v>
      </c>
      <c r="E221" s="8">
        <v>500.22</v>
      </c>
      <c r="F221" s="8">
        <v>490.14</v>
      </c>
      <c r="G221" s="8">
        <v>509.04</v>
      </c>
      <c r="H221" s="8">
        <v>532.55999999999995</v>
      </c>
      <c r="I221" s="8">
        <v>562.79999999999995</v>
      </c>
      <c r="J221" s="8">
        <v>621.6</v>
      </c>
      <c r="K221" s="8">
        <v>676.62</v>
      </c>
      <c r="L221" s="8">
        <v>711.06</v>
      </c>
      <c r="M221" s="8">
        <v>687.96</v>
      </c>
      <c r="N221" s="8">
        <v>731.22</v>
      </c>
      <c r="O221" s="8">
        <v>724.5</v>
      </c>
      <c r="P221" s="8">
        <v>726.18</v>
      </c>
      <c r="Q221" s="8">
        <v>742.98</v>
      </c>
      <c r="R221" s="8">
        <v>778.68</v>
      </c>
      <c r="S221" s="8">
        <v>772.8</v>
      </c>
      <c r="T221" s="8">
        <v>803.88</v>
      </c>
      <c r="U221" s="8">
        <v>816.06</v>
      </c>
      <c r="V221" s="8">
        <v>871.08</v>
      </c>
      <c r="W221" s="8">
        <v>863.94</v>
      </c>
      <c r="X221" s="8">
        <v>807.66</v>
      </c>
      <c r="Y221" s="8">
        <v>735.84</v>
      </c>
      <c r="Z221" s="8">
        <v>635.88</v>
      </c>
    </row>
    <row r="222" spans="1:26" x14ac:dyDescent="0.25">
      <c r="A222" s="4">
        <v>41489</v>
      </c>
      <c r="B222" s="5">
        <f>SUM('2013 - 8760 Load'!_Day581)</f>
        <v>17275.440000000002</v>
      </c>
      <c r="C222" s="8">
        <v>589.26</v>
      </c>
      <c r="D222" s="8">
        <v>557.34</v>
      </c>
      <c r="E222" s="8">
        <v>532.98</v>
      </c>
      <c r="F222" s="8">
        <v>525.84</v>
      </c>
      <c r="G222" s="8">
        <v>535.08000000000004</v>
      </c>
      <c r="H222" s="8">
        <v>557.76</v>
      </c>
      <c r="I222" s="8">
        <v>611.94000000000005</v>
      </c>
      <c r="J222" s="8">
        <v>692.58</v>
      </c>
      <c r="K222" s="8">
        <v>733.74</v>
      </c>
      <c r="L222" s="8">
        <v>804.3</v>
      </c>
      <c r="M222" s="8">
        <v>774.9</v>
      </c>
      <c r="N222" s="8">
        <v>783.3</v>
      </c>
      <c r="O222" s="8">
        <v>769.44</v>
      </c>
      <c r="P222" s="8">
        <v>779.94</v>
      </c>
      <c r="Q222" s="8">
        <v>806.82</v>
      </c>
      <c r="R222" s="8">
        <v>799.68</v>
      </c>
      <c r="S222" s="8">
        <v>839.16</v>
      </c>
      <c r="T222" s="8">
        <v>824.88</v>
      </c>
      <c r="U222" s="8">
        <v>823.2</v>
      </c>
      <c r="V222" s="8">
        <v>881.58</v>
      </c>
      <c r="W222" s="8">
        <v>887.04</v>
      </c>
      <c r="X222" s="8">
        <v>814.38</v>
      </c>
      <c r="Y222" s="8">
        <v>723.66</v>
      </c>
      <c r="Z222" s="8">
        <v>626.64</v>
      </c>
    </row>
    <row r="223" spans="1:26" x14ac:dyDescent="0.25">
      <c r="A223" s="4">
        <v>41490</v>
      </c>
      <c r="B223" s="5">
        <f>SUM('2013 - 8760 Load'!_Day582)</f>
        <v>15927.660000000003</v>
      </c>
      <c r="C223" s="8">
        <v>553.14</v>
      </c>
      <c r="D223" s="8">
        <v>528.78</v>
      </c>
      <c r="E223" s="8">
        <v>504.42</v>
      </c>
      <c r="F223" s="8">
        <v>492.66</v>
      </c>
      <c r="G223" s="8">
        <v>489.3</v>
      </c>
      <c r="H223" s="8">
        <v>483.84</v>
      </c>
      <c r="I223" s="8">
        <v>541.38</v>
      </c>
      <c r="J223" s="8">
        <v>637.98</v>
      </c>
      <c r="K223" s="8">
        <v>717.36</v>
      </c>
      <c r="L223" s="8">
        <v>737.94</v>
      </c>
      <c r="M223" s="8">
        <v>724.5</v>
      </c>
      <c r="N223" s="8">
        <v>767.76</v>
      </c>
      <c r="O223" s="8">
        <v>726.6</v>
      </c>
      <c r="P223" s="8">
        <v>746.34</v>
      </c>
      <c r="Q223" s="8">
        <v>758.94</v>
      </c>
      <c r="R223" s="8">
        <v>779.94</v>
      </c>
      <c r="S223" s="8">
        <v>782.04</v>
      </c>
      <c r="T223" s="8">
        <v>768.6</v>
      </c>
      <c r="U223" s="8">
        <v>753.06</v>
      </c>
      <c r="V223" s="8">
        <v>767.34</v>
      </c>
      <c r="W223" s="8">
        <v>782.04</v>
      </c>
      <c r="X223" s="8">
        <v>704.34</v>
      </c>
      <c r="Y223" s="8">
        <v>622.02</v>
      </c>
      <c r="Z223" s="8">
        <v>557.34</v>
      </c>
    </row>
    <row r="224" spans="1:26" x14ac:dyDescent="0.25">
      <c r="A224" s="4">
        <v>41491</v>
      </c>
      <c r="B224" s="5">
        <f>SUM('2013 - 8760 Load'!_Day583)</f>
        <v>14883.539999999999</v>
      </c>
      <c r="C224" s="8">
        <v>525.84</v>
      </c>
      <c r="D224" s="8">
        <v>518.28</v>
      </c>
      <c r="E224" s="8">
        <v>498.12</v>
      </c>
      <c r="F224" s="8">
        <v>487.62</v>
      </c>
      <c r="G224" s="8">
        <v>517.44000000000005</v>
      </c>
      <c r="H224" s="8">
        <v>548.94000000000005</v>
      </c>
      <c r="I224" s="8">
        <v>578.76</v>
      </c>
      <c r="J224" s="8">
        <v>627.9</v>
      </c>
      <c r="K224" s="8">
        <v>629.58000000000004</v>
      </c>
      <c r="L224" s="8">
        <v>645.12</v>
      </c>
      <c r="M224" s="8">
        <v>664.02</v>
      </c>
      <c r="N224" s="8">
        <v>653.1</v>
      </c>
      <c r="O224" s="8">
        <v>614.04</v>
      </c>
      <c r="P224" s="8">
        <v>624.12</v>
      </c>
      <c r="Q224" s="8">
        <v>644.70000000000005</v>
      </c>
      <c r="R224" s="8">
        <v>673.26</v>
      </c>
      <c r="S224" s="8">
        <v>709.38</v>
      </c>
      <c r="T224" s="8">
        <v>729.96</v>
      </c>
      <c r="U224" s="8">
        <v>721.98</v>
      </c>
      <c r="V224" s="8">
        <v>745.08</v>
      </c>
      <c r="W224" s="8">
        <v>751.8</v>
      </c>
      <c r="X224" s="8">
        <v>664.02</v>
      </c>
      <c r="Y224" s="8">
        <v>585.48</v>
      </c>
      <c r="Z224" s="8">
        <v>525</v>
      </c>
    </row>
    <row r="225" spans="1:26" x14ac:dyDescent="0.25">
      <c r="A225" s="4">
        <v>41492</v>
      </c>
      <c r="B225" s="5">
        <f>SUM('2013 - 8760 Load'!_Day584)</f>
        <v>14681.520000000004</v>
      </c>
      <c r="C225" s="8">
        <v>501.06</v>
      </c>
      <c r="D225" s="8">
        <v>479.22</v>
      </c>
      <c r="E225" s="8">
        <v>466.62</v>
      </c>
      <c r="F225" s="8">
        <v>467.88</v>
      </c>
      <c r="G225" s="8">
        <v>497.28</v>
      </c>
      <c r="H225" s="8">
        <v>522.05999999999995</v>
      </c>
      <c r="I225" s="8">
        <v>561.96</v>
      </c>
      <c r="J225" s="8">
        <v>601.44000000000005</v>
      </c>
      <c r="K225" s="8">
        <v>626.64</v>
      </c>
      <c r="L225" s="8">
        <v>629.58000000000004</v>
      </c>
      <c r="M225" s="8">
        <v>631.67999999999995</v>
      </c>
      <c r="N225" s="8">
        <v>656.88</v>
      </c>
      <c r="O225" s="8">
        <v>651</v>
      </c>
      <c r="P225" s="8">
        <v>641.76</v>
      </c>
      <c r="Q225" s="8">
        <v>643.86</v>
      </c>
      <c r="R225" s="8">
        <v>645.54</v>
      </c>
      <c r="S225" s="8">
        <v>703.5</v>
      </c>
      <c r="T225" s="8">
        <v>727.86</v>
      </c>
      <c r="U225" s="8">
        <v>716.1</v>
      </c>
      <c r="V225" s="8">
        <v>766.92</v>
      </c>
      <c r="W225" s="8">
        <v>746.76</v>
      </c>
      <c r="X225" s="8">
        <v>674.1</v>
      </c>
      <c r="Y225" s="8">
        <v>595.14</v>
      </c>
      <c r="Z225" s="8">
        <v>526.67999999999995</v>
      </c>
    </row>
    <row r="226" spans="1:26" x14ac:dyDescent="0.25">
      <c r="A226" s="4">
        <v>41493</v>
      </c>
      <c r="B226" s="5">
        <f>SUM('2013 - 8760 Load'!_Day585)</f>
        <v>15056.579999999996</v>
      </c>
      <c r="C226" s="8">
        <v>507.78</v>
      </c>
      <c r="D226" s="8">
        <v>491.82</v>
      </c>
      <c r="E226" s="8">
        <v>473.34</v>
      </c>
      <c r="F226" s="8">
        <v>468.72</v>
      </c>
      <c r="G226" s="8">
        <v>499.8</v>
      </c>
      <c r="H226" s="8">
        <v>530.88</v>
      </c>
      <c r="I226" s="8">
        <v>587.58000000000004</v>
      </c>
      <c r="J226" s="8">
        <v>599.76</v>
      </c>
      <c r="K226" s="8">
        <v>655.62</v>
      </c>
      <c r="L226" s="8">
        <v>679.56</v>
      </c>
      <c r="M226" s="8">
        <v>655.20000000000005</v>
      </c>
      <c r="N226" s="8">
        <v>660.24</v>
      </c>
      <c r="O226" s="8">
        <v>679.14</v>
      </c>
      <c r="P226" s="8">
        <v>675.78</v>
      </c>
      <c r="Q226" s="8">
        <v>651.41999999999996</v>
      </c>
      <c r="R226" s="8">
        <v>666.96</v>
      </c>
      <c r="S226" s="8">
        <v>709.8</v>
      </c>
      <c r="T226" s="8">
        <v>731.64</v>
      </c>
      <c r="U226" s="8">
        <v>748.44</v>
      </c>
      <c r="V226" s="8">
        <v>777.84</v>
      </c>
      <c r="W226" s="8">
        <v>753.06</v>
      </c>
      <c r="X226" s="8">
        <v>689.64</v>
      </c>
      <c r="Y226" s="8">
        <v>610.26</v>
      </c>
      <c r="Z226" s="8">
        <v>552.29999999999995</v>
      </c>
    </row>
    <row r="227" spans="1:26" x14ac:dyDescent="0.25">
      <c r="A227" s="4">
        <v>41494</v>
      </c>
      <c r="B227" s="5">
        <f>SUM('2013 - 8760 Load'!_Day586)</f>
        <v>16588.740000000002</v>
      </c>
      <c r="C227" s="8">
        <v>522.48</v>
      </c>
      <c r="D227" s="8">
        <v>510.3</v>
      </c>
      <c r="E227" s="8">
        <v>483.42</v>
      </c>
      <c r="F227" s="8">
        <v>478.8</v>
      </c>
      <c r="G227" s="8">
        <v>505.26</v>
      </c>
      <c r="H227" s="8">
        <v>532.98</v>
      </c>
      <c r="I227" s="8">
        <v>586.74</v>
      </c>
      <c r="J227" s="8">
        <v>617.4</v>
      </c>
      <c r="K227" s="8">
        <v>685.86</v>
      </c>
      <c r="L227" s="8">
        <v>722.4</v>
      </c>
      <c r="M227" s="8">
        <v>771.54</v>
      </c>
      <c r="N227" s="8">
        <v>746.76</v>
      </c>
      <c r="O227" s="8">
        <v>746.34</v>
      </c>
      <c r="P227" s="8">
        <v>745.08</v>
      </c>
      <c r="Q227" s="8">
        <v>745.5</v>
      </c>
      <c r="R227" s="8">
        <v>782.04</v>
      </c>
      <c r="S227" s="8">
        <v>815.22</v>
      </c>
      <c r="T227" s="8">
        <v>848.82</v>
      </c>
      <c r="U227" s="8">
        <v>861.42</v>
      </c>
      <c r="V227" s="8">
        <v>909.3</v>
      </c>
      <c r="W227" s="8">
        <v>885.36</v>
      </c>
      <c r="X227" s="8">
        <v>779.94</v>
      </c>
      <c r="Y227" s="8">
        <v>689.22</v>
      </c>
      <c r="Z227" s="8">
        <v>616.55999999999995</v>
      </c>
    </row>
    <row r="228" spans="1:26" x14ac:dyDescent="0.25">
      <c r="A228" s="4">
        <v>41495</v>
      </c>
      <c r="B228" s="5">
        <f>SUM('2013 - 8760 Load'!_Day587)</f>
        <v>18538.800000000003</v>
      </c>
      <c r="C228" s="8">
        <v>592.20000000000005</v>
      </c>
      <c r="D228" s="8">
        <v>565.32000000000005</v>
      </c>
      <c r="E228" s="8">
        <v>548.94000000000005</v>
      </c>
      <c r="F228" s="8">
        <v>540.96</v>
      </c>
      <c r="G228" s="8">
        <v>571.62</v>
      </c>
      <c r="H228" s="8">
        <v>598.08000000000004</v>
      </c>
      <c r="I228" s="8">
        <v>662.76</v>
      </c>
      <c r="J228" s="8">
        <v>699.3</v>
      </c>
      <c r="K228" s="8">
        <v>754.32</v>
      </c>
      <c r="L228" s="8">
        <v>787.5</v>
      </c>
      <c r="M228" s="8">
        <v>787.08</v>
      </c>
      <c r="N228" s="8">
        <v>800.1</v>
      </c>
      <c r="O228" s="8">
        <v>805.56</v>
      </c>
      <c r="P228" s="8">
        <v>820.26</v>
      </c>
      <c r="Q228" s="8">
        <v>871.5</v>
      </c>
      <c r="R228" s="8">
        <v>916.02</v>
      </c>
      <c r="S228" s="8">
        <v>913.92</v>
      </c>
      <c r="T228" s="8">
        <v>928.62</v>
      </c>
      <c r="U228" s="8">
        <v>966.84</v>
      </c>
      <c r="V228" s="8">
        <v>1009.26</v>
      </c>
      <c r="W228" s="8">
        <v>1008.42</v>
      </c>
      <c r="X228" s="8">
        <v>897.54</v>
      </c>
      <c r="Y228" s="8">
        <v>792.96</v>
      </c>
      <c r="Z228" s="8">
        <v>699.72</v>
      </c>
    </row>
    <row r="229" spans="1:26" x14ac:dyDescent="0.25">
      <c r="A229" s="4">
        <v>41496</v>
      </c>
      <c r="B229" s="5">
        <f>SUM('2013 - 8760 Load'!_Day588)</f>
        <v>17834.879999999997</v>
      </c>
      <c r="C229" s="8">
        <v>643.86</v>
      </c>
      <c r="D229" s="8">
        <v>601.44000000000005</v>
      </c>
      <c r="E229" s="8">
        <v>575.4</v>
      </c>
      <c r="F229" s="8">
        <v>562.38</v>
      </c>
      <c r="G229" s="8">
        <v>573.72</v>
      </c>
      <c r="H229" s="8">
        <v>566.58000000000004</v>
      </c>
      <c r="I229" s="8">
        <v>618.24</v>
      </c>
      <c r="J229" s="8">
        <v>679.14</v>
      </c>
      <c r="K229" s="8">
        <v>732.9</v>
      </c>
      <c r="L229" s="8">
        <v>776.58</v>
      </c>
      <c r="M229" s="8">
        <v>815.22</v>
      </c>
      <c r="N229" s="8">
        <v>843.78</v>
      </c>
      <c r="O229" s="8">
        <v>817.74</v>
      </c>
      <c r="P229" s="8">
        <v>832.02</v>
      </c>
      <c r="Q229" s="8">
        <v>823.2</v>
      </c>
      <c r="R229" s="8">
        <v>827.4</v>
      </c>
      <c r="S229" s="8">
        <v>887.04</v>
      </c>
      <c r="T229" s="8">
        <v>862.68</v>
      </c>
      <c r="U229" s="8">
        <v>849.66</v>
      </c>
      <c r="V229" s="8">
        <v>896.7</v>
      </c>
      <c r="W229" s="8">
        <v>861.42</v>
      </c>
      <c r="X229" s="8">
        <v>810.18</v>
      </c>
      <c r="Y229" s="8">
        <v>726.18</v>
      </c>
      <c r="Z229" s="8">
        <v>651.41999999999996</v>
      </c>
    </row>
    <row r="230" spans="1:26" x14ac:dyDescent="0.25">
      <c r="A230" s="4">
        <v>41497</v>
      </c>
      <c r="B230" s="5">
        <f>SUM('2013 - 8760 Load'!_Day589)</f>
        <v>16059.12</v>
      </c>
      <c r="C230" s="8">
        <v>576.24</v>
      </c>
      <c r="D230" s="8">
        <v>545.16</v>
      </c>
      <c r="E230" s="8">
        <v>516.6</v>
      </c>
      <c r="F230" s="8">
        <v>504.84</v>
      </c>
      <c r="G230" s="8">
        <v>498.96</v>
      </c>
      <c r="H230" s="8">
        <v>499.8</v>
      </c>
      <c r="I230" s="8">
        <v>553.14</v>
      </c>
      <c r="J230" s="8">
        <v>642.17999999999995</v>
      </c>
      <c r="K230" s="8">
        <v>692.16</v>
      </c>
      <c r="L230" s="8">
        <v>699.72</v>
      </c>
      <c r="M230" s="8">
        <v>698.88</v>
      </c>
      <c r="N230" s="8">
        <v>729.96</v>
      </c>
      <c r="O230" s="8">
        <v>767.34</v>
      </c>
      <c r="P230" s="8">
        <v>753.9</v>
      </c>
      <c r="Q230" s="8">
        <v>761.04</v>
      </c>
      <c r="R230" s="8">
        <v>777</v>
      </c>
      <c r="S230" s="8">
        <v>795.48</v>
      </c>
      <c r="T230" s="8">
        <v>780.36</v>
      </c>
      <c r="U230" s="8">
        <v>788.76</v>
      </c>
      <c r="V230" s="8">
        <v>777.84</v>
      </c>
      <c r="W230" s="8">
        <v>786.66</v>
      </c>
      <c r="X230" s="8">
        <v>702.24</v>
      </c>
      <c r="Y230" s="8">
        <v>624.96</v>
      </c>
      <c r="Z230" s="8">
        <v>585.9</v>
      </c>
    </row>
    <row r="231" spans="1:26" x14ac:dyDescent="0.25">
      <c r="A231" s="4">
        <v>41498</v>
      </c>
      <c r="B231" s="5">
        <f>SUM('2013 - 8760 Load'!_Day590)</f>
        <v>15638.280000000002</v>
      </c>
      <c r="C231" s="8">
        <v>552.29999999999995</v>
      </c>
      <c r="D231" s="8">
        <v>521.22</v>
      </c>
      <c r="E231" s="8">
        <v>503.16</v>
      </c>
      <c r="F231" s="8">
        <v>500.22</v>
      </c>
      <c r="G231" s="8">
        <v>522.9</v>
      </c>
      <c r="H231" s="8">
        <v>541.79999999999995</v>
      </c>
      <c r="I231" s="8">
        <v>587.58000000000004</v>
      </c>
      <c r="J231" s="8">
        <v>599.34</v>
      </c>
      <c r="K231" s="8">
        <v>630.84</v>
      </c>
      <c r="L231" s="8">
        <v>640.08000000000004</v>
      </c>
      <c r="M231" s="8">
        <v>690.9</v>
      </c>
      <c r="N231" s="8">
        <v>692.16</v>
      </c>
      <c r="O231" s="8">
        <v>716.52</v>
      </c>
      <c r="P231" s="8">
        <v>727.86</v>
      </c>
      <c r="Q231" s="8">
        <v>705.6</v>
      </c>
      <c r="R231" s="8">
        <v>725.34</v>
      </c>
      <c r="S231" s="8">
        <v>778.26</v>
      </c>
      <c r="T231" s="8">
        <v>780.36</v>
      </c>
      <c r="U231" s="8">
        <v>769.02</v>
      </c>
      <c r="V231" s="8">
        <v>788.76</v>
      </c>
      <c r="W231" s="8">
        <v>766.92</v>
      </c>
      <c r="X231" s="8">
        <v>698.04</v>
      </c>
      <c r="Y231" s="8">
        <v>637.55999999999995</v>
      </c>
      <c r="Z231" s="8">
        <v>561.54</v>
      </c>
    </row>
    <row r="232" spans="1:26" x14ac:dyDescent="0.25">
      <c r="A232" s="4">
        <v>41499</v>
      </c>
      <c r="B232" s="5">
        <f>SUM('2013 - 8760 Load'!_Day591)</f>
        <v>15610.980000000001</v>
      </c>
      <c r="C232" s="8">
        <v>533.4</v>
      </c>
      <c r="D232" s="8">
        <v>520.79999999999995</v>
      </c>
      <c r="E232" s="8">
        <v>498.96</v>
      </c>
      <c r="F232" s="8">
        <v>486.78</v>
      </c>
      <c r="G232" s="8">
        <v>515.34</v>
      </c>
      <c r="H232" s="8">
        <v>554.82000000000005</v>
      </c>
      <c r="I232" s="8">
        <v>600.6</v>
      </c>
      <c r="J232" s="8">
        <v>605.22</v>
      </c>
      <c r="K232" s="8">
        <v>650.16</v>
      </c>
      <c r="L232" s="8">
        <v>693.84</v>
      </c>
      <c r="M232" s="8">
        <v>702.24</v>
      </c>
      <c r="N232" s="8">
        <v>678.72</v>
      </c>
      <c r="O232" s="8">
        <v>678.72</v>
      </c>
      <c r="P232" s="8">
        <v>704.76</v>
      </c>
      <c r="Q232" s="8">
        <v>708.96</v>
      </c>
      <c r="R232" s="8">
        <v>714.42</v>
      </c>
      <c r="S232" s="8">
        <v>732.9</v>
      </c>
      <c r="T232" s="8">
        <v>768.18</v>
      </c>
      <c r="U232" s="8">
        <v>761.04</v>
      </c>
      <c r="V232" s="8">
        <v>813.12</v>
      </c>
      <c r="W232" s="8">
        <v>782.88</v>
      </c>
      <c r="X232" s="8">
        <v>718.62</v>
      </c>
      <c r="Y232" s="8">
        <v>619.5</v>
      </c>
      <c r="Z232" s="8">
        <v>567</v>
      </c>
    </row>
    <row r="233" spans="1:26" x14ac:dyDescent="0.25">
      <c r="A233" s="4">
        <v>41500</v>
      </c>
      <c r="B233" s="5">
        <f>SUM('2013 - 8760 Load'!_Day592)</f>
        <v>14670.18</v>
      </c>
      <c r="C233" s="8">
        <v>546</v>
      </c>
      <c r="D233" s="8">
        <v>517.02</v>
      </c>
      <c r="E233" s="8">
        <v>488.88</v>
      </c>
      <c r="F233" s="8">
        <v>475.44</v>
      </c>
      <c r="G233" s="8">
        <v>492.24</v>
      </c>
      <c r="H233" s="8">
        <v>519.96</v>
      </c>
      <c r="I233" s="8">
        <v>556.5</v>
      </c>
      <c r="J233" s="8">
        <v>575.4</v>
      </c>
      <c r="K233" s="8">
        <v>603.12</v>
      </c>
      <c r="L233" s="8">
        <v>608.58000000000004</v>
      </c>
      <c r="M233" s="8">
        <v>636.72</v>
      </c>
      <c r="N233" s="8">
        <v>631.26</v>
      </c>
      <c r="O233" s="8">
        <v>644.70000000000005</v>
      </c>
      <c r="P233" s="8">
        <v>663.18</v>
      </c>
      <c r="Q233" s="8">
        <v>664.44</v>
      </c>
      <c r="R233" s="8">
        <v>632.94000000000005</v>
      </c>
      <c r="S233" s="8">
        <v>669.48</v>
      </c>
      <c r="T233" s="8">
        <v>696.36</v>
      </c>
      <c r="U233" s="8">
        <v>690.06</v>
      </c>
      <c r="V233" s="8">
        <v>773.64</v>
      </c>
      <c r="W233" s="8">
        <v>756.42</v>
      </c>
      <c r="X233" s="8">
        <v>689.22</v>
      </c>
      <c r="Y233" s="8">
        <v>603.96</v>
      </c>
      <c r="Z233" s="8">
        <v>534.66</v>
      </c>
    </row>
    <row r="234" spans="1:26" x14ac:dyDescent="0.25">
      <c r="A234" s="4">
        <v>41501</v>
      </c>
      <c r="B234" s="5">
        <f>SUM('2013 - 8760 Load'!_Day593)</f>
        <v>14434.14</v>
      </c>
      <c r="C234" s="8">
        <v>497.7</v>
      </c>
      <c r="D234" s="8">
        <v>475.02</v>
      </c>
      <c r="E234" s="8">
        <v>467.88</v>
      </c>
      <c r="F234" s="8">
        <v>471.24</v>
      </c>
      <c r="G234" s="8">
        <v>501.9</v>
      </c>
      <c r="H234" s="8">
        <v>522.05999999999995</v>
      </c>
      <c r="I234" s="8">
        <v>553.14</v>
      </c>
      <c r="J234" s="8">
        <v>567.41999999999996</v>
      </c>
      <c r="K234" s="8">
        <v>605.22</v>
      </c>
      <c r="L234" s="8">
        <v>625.38</v>
      </c>
      <c r="M234" s="8">
        <v>642.17999999999995</v>
      </c>
      <c r="N234" s="8">
        <v>613.20000000000005</v>
      </c>
      <c r="O234" s="8">
        <v>607.32000000000005</v>
      </c>
      <c r="P234" s="8">
        <v>591.36</v>
      </c>
      <c r="Q234" s="8">
        <v>624.96</v>
      </c>
      <c r="R234" s="8">
        <v>641.34</v>
      </c>
      <c r="S234" s="8">
        <v>680.4</v>
      </c>
      <c r="T234" s="8">
        <v>712.74</v>
      </c>
      <c r="U234" s="8">
        <v>729.12</v>
      </c>
      <c r="V234" s="8">
        <v>761.88</v>
      </c>
      <c r="W234" s="8">
        <v>732.06</v>
      </c>
      <c r="X234" s="8">
        <v>669.06</v>
      </c>
      <c r="Y234" s="8">
        <v>601.02</v>
      </c>
      <c r="Z234" s="8">
        <v>540.54</v>
      </c>
    </row>
    <row r="235" spans="1:26" x14ac:dyDescent="0.25">
      <c r="A235" s="4">
        <v>41502</v>
      </c>
      <c r="B235" s="5">
        <f>SUM('2013 - 8760 Load'!_Day594)</f>
        <v>15155.699999999999</v>
      </c>
      <c r="C235" s="8">
        <v>508.62</v>
      </c>
      <c r="D235" s="8">
        <v>479.64</v>
      </c>
      <c r="E235" s="8">
        <v>460.32</v>
      </c>
      <c r="F235" s="8">
        <v>465.78</v>
      </c>
      <c r="G235" s="8">
        <v>492.24</v>
      </c>
      <c r="H235" s="8">
        <v>519.54</v>
      </c>
      <c r="I235" s="8">
        <v>555.24</v>
      </c>
      <c r="J235" s="8">
        <v>598.5</v>
      </c>
      <c r="K235" s="8">
        <v>603.54</v>
      </c>
      <c r="L235" s="8">
        <v>610.26</v>
      </c>
      <c r="M235" s="8">
        <v>656.88</v>
      </c>
      <c r="N235" s="8">
        <v>670.32</v>
      </c>
      <c r="O235" s="8">
        <v>668.22</v>
      </c>
      <c r="P235" s="8">
        <v>658.14</v>
      </c>
      <c r="Q235" s="8">
        <v>655.20000000000005</v>
      </c>
      <c r="R235" s="8">
        <v>669.9</v>
      </c>
      <c r="S235" s="8">
        <v>711.9</v>
      </c>
      <c r="T235" s="8">
        <v>739.62</v>
      </c>
      <c r="U235" s="8">
        <v>756.84</v>
      </c>
      <c r="V235" s="8">
        <v>804.3</v>
      </c>
      <c r="W235" s="8">
        <v>808.92</v>
      </c>
      <c r="X235" s="8">
        <v>783.72</v>
      </c>
      <c r="Y235" s="8">
        <v>683.76</v>
      </c>
      <c r="Z235" s="8">
        <v>594.29999999999995</v>
      </c>
    </row>
    <row r="236" spans="1:26" x14ac:dyDescent="0.25">
      <c r="A236" s="4">
        <v>41503</v>
      </c>
      <c r="B236" s="5">
        <f>SUM('2013 - 8760 Load'!_Day595)</f>
        <v>15896.580000000002</v>
      </c>
      <c r="C236" s="8">
        <v>550.20000000000005</v>
      </c>
      <c r="D236" s="8">
        <v>534.66</v>
      </c>
      <c r="E236" s="8">
        <v>522.9</v>
      </c>
      <c r="F236" s="8">
        <v>505.26</v>
      </c>
      <c r="G236" s="8">
        <v>521.22</v>
      </c>
      <c r="H236" s="8">
        <v>533.4</v>
      </c>
      <c r="I236" s="8">
        <v>598.08000000000004</v>
      </c>
      <c r="J236" s="8">
        <v>620.76</v>
      </c>
      <c r="K236" s="8">
        <v>652.67999999999995</v>
      </c>
      <c r="L236" s="8">
        <v>681.66</v>
      </c>
      <c r="M236" s="8">
        <v>693.42</v>
      </c>
      <c r="N236" s="8">
        <v>691.32</v>
      </c>
      <c r="O236" s="8">
        <v>670.32</v>
      </c>
      <c r="P236" s="8">
        <v>696.36</v>
      </c>
      <c r="Q236" s="8">
        <v>710.64</v>
      </c>
      <c r="R236" s="8">
        <v>768.6</v>
      </c>
      <c r="S236" s="8">
        <v>795.9</v>
      </c>
      <c r="T236" s="8">
        <v>796.74</v>
      </c>
      <c r="U236" s="8">
        <v>780.78</v>
      </c>
      <c r="V236" s="8">
        <v>803.46</v>
      </c>
      <c r="W236" s="8">
        <v>777.84</v>
      </c>
      <c r="X236" s="8">
        <v>726.6</v>
      </c>
      <c r="Y236" s="8">
        <v>676.2</v>
      </c>
      <c r="Z236" s="8">
        <v>587.58000000000004</v>
      </c>
    </row>
    <row r="237" spans="1:26" x14ac:dyDescent="0.25">
      <c r="A237" s="4">
        <v>41504</v>
      </c>
      <c r="B237" s="5">
        <f>SUM('2013 - 8760 Load'!_Day596)</f>
        <v>15472.8</v>
      </c>
      <c r="C237" s="8">
        <v>533.4</v>
      </c>
      <c r="D237" s="8">
        <v>514.91999999999996</v>
      </c>
      <c r="E237" s="8">
        <v>505.26</v>
      </c>
      <c r="F237" s="8">
        <v>482.16</v>
      </c>
      <c r="G237" s="8">
        <v>493.08</v>
      </c>
      <c r="H237" s="8">
        <v>501.9</v>
      </c>
      <c r="I237" s="8">
        <v>544.32000000000005</v>
      </c>
      <c r="J237" s="8">
        <v>608.16</v>
      </c>
      <c r="K237" s="8">
        <v>677.88</v>
      </c>
      <c r="L237" s="8">
        <v>727.44</v>
      </c>
      <c r="M237" s="8">
        <v>733.74</v>
      </c>
      <c r="N237" s="8">
        <v>732.9</v>
      </c>
      <c r="O237" s="8">
        <v>724.92</v>
      </c>
      <c r="P237" s="8">
        <v>707.7</v>
      </c>
      <c r="Q237" s="8">
        <v>733.74</v>
      </c>
      <c r="R237" s="8">
        <v>752.64</v>
      </c>
      <c r="S237" s="8">
        <v>752.64</v>
      </c>
      <c r="T237" s="8">
        <v>734.16</v>
      </c>
      <c r="U237" s="8">
        <v>715.68</v>
      </c>
      <c r="V237" s="8">
        <v>775.32</v>
      </c>
      <c r="W237" s="8">
        <v>732.06</v>
      </c>
      <c r="X237" s="8">
        <v>661.5</v>
      </c>
      <c r="Y237" s="8">
        <v>591.78</v>
      </c>
      <c r="Z237" s="8">
        <v>535.5</v>
      </c>
    </row>
    <row r="238" spans="1:26" x14ac:dyDescent="0.25">
      <c r="A238" s="4">
        <v>41505</v>
      </c>
      <c r="B238" s="5">
        <f>SUM('2013 - 8760 Load'!_Day597)</f>
        <v>14451.780000000002</v>
      </c>
      <c r="C238" s="8">
        <v>502.74</v>
      </c>
      <c r="D238" s="8">
        <v>478.8</v>
      </c>
      <c r="E238" s="8">
        <v>473.76</v>
      </c>
      <c r="F238" s="8">
        <v>471.66</v>
      </c>
      <c r="G238" s="8">
        <v>484.26</v>
      </c>
      <c r="H238" s="8">
        <v>523.74</v>
      </c>
      <c r="I238" s="8">
        <v>560.28</v>
      </c>
      <c r="J238" s="8">
        <v>575.4</v>
      </c>
      <c r="K238" s="8">
        <v>600.6</v>
      </c>
      <c r="L238" s="8">
        <v>618.66</v>
      </c>
      <c r="M238" s="8">
        <v>617.4</v>
      </c>
      <c r="N238" s="8">
        <v>645.54</v>
      </c>
      <c r="O238" s="8">
        <v>616.55999999999995</v>
      </c>
      <c r="P238" s="8">
        <v>601.02</v>
      </c>
      <c r="Q238" s="8">
        <v>602.28</v>
      </c>
      <c r="R238" s="8">
        <v>640.91999999999996</v>
      </c>
      <c r="S238" s="8">
        <v>704.76</v>
      </c>
      <c r="T238" s="8">
        <v>715.68</v>
      </c>
      <c r="U238" s="8">
        <v>694.26</v>
      </c>
      <c r="V238" s="8">
        <v>766.08</v>
      </c>
      <c r="W238" s="8">
        <v>746.76</v>
      </c>
      <c r="X238" s="8">
        <v>674.1</v>
      </c>
      <c r="Y238" s="8">
        <v>601.02</v>
      </c>
      <c r="Z238" s="8">
        <v>535.5</v>
      </c>
    </row>
    <row r="239" spans="1:26" x14ac:dyDescent="0.25">
      <c r="A239" s="4">
        <v>41506</v>
      </c>
      <c r="B239" s="5">
        <f>SUM('2013 - 8760 Load'!_Day598)</f>
        <v>15200.219999999998</v>
      </c>
      <c r="C239" s="8">
        <v>501.06</v>
      </c>
      <c r="D239" s="8">
        <v>488.46</v>
      </c>
      <c r="E239" s="8">
        <v>468.72</v>
      </c>
      <c r="F239" s="8">
        <v>466.62</v>
      </c>
      <c r="G239" s="8">
        <v>493.92</v>
      </c>
      <c r="H239" s="8">
        <v>519.96</v>
      </c>
      <c r="I239" s="8">
        <v>547.67999999999995</v>
      </c>
      <c r="J239" s="8">
        <v>586.74</v>
      </c>
      <c r="K239" s="8">
        <v>601.86</v>
      </c>
      <c r="L239" s="8">
        <v>632.94000000000005</v>
      </c>
      <c r="M239" s="8">
        <v>666.12</v>
      </c>
      <c r="N239" s="8">
        <v>650.58000000000004</v>
      </c>
      <c r="O239" s="8">
        <v>638.82000000000005</v>
      </c>
      <c r="P239" s="8">
        <v>691.32</v>
      </c>
      <c r="Q239" s="8">
        <v>706.86</v>
      </c>
      <c r="R239" s="8">
        <v>723.66</v>
      </c>
      <c r="S239" s="8">
        <v>784.14</v>
      </c>
      <c r="T239" s="8">
        <v>769.44</v>
      </c>
      <c r="U239" s="8">
        <v>774.06</v>
      </c>
      <c r="V239" s="8">
        <v>832.86</v>
      </c>
      <c r="W239" s="8">
        <v>793.38</v>
      </c>
      <c r="X239" s="8">
        <v>701.4</v>
      </c>
      <c r="Y239" s="8">
        <v>612.78</v>
      </c>
      <c r="Z239" s="8">
        <v>546.84</v>
      </c>
    </row>
    <row r="240" spans="1:26" x14ac:dyDescent="0.25">
      <c r="A240" s="4">
        <v>41507</v>
      </c>
      <c r="B240" s="5">
        <f>SUM('2013 - 8760 Load'!_Day599)</f>
        <v>15979.320000000002</v>
      </c>
      <c r="C240" s="8">
        <v>514.91999999999996</v>
      </c>
      <c r="D240" s="8">
        <v>503.58</v>
      </c>
      <c r="E240" s="8">
        <v>485.1</v>
      </c>
      <c r="F240" s="8">
        <v>481.32</v>
      </c>
      <c r="G240" s="8">
        <v>502.74</v>
      </c>
      <c r="H240" s="8">
        <v>534.24</v>
      </c>
      <c r="I240" s="8">
        <v>567.84</v>
      </c>
      <c r="J240" s="8">
        <v>595.14</v>
      </c>
      <c r="K240" s="8">
        <v>610.67999999999995</v>
      </c>
      <c r="L240" s="8">
        <v>648.9</v>
      </c>
      <c r="M240" s="8">
        <v>673.26</v>
      </c>
      <c r="N240" s="8">
        <v>727.86</v>
      </c>
      <c r="O240" s="8">
        <v>740.88</v>
      </c>
      <c r="P240" s="8">
        <v>750.96</v>
      </c>
      <c r="Q240" s="8">
        <v>784.56</v>
      </c>
      <c r="R240" s="8">
        <v>796.74</v>
      </c>
      <c r="S240" s="8">
        <v>818.58</v>
      </c>
      <c r="T240" s="8">
        <v>817.32</v>
      </c>
      <c r="U240" s="8">
        <v>817.74</v>
      </c>
      <c r="V240" s="8">
        <v>845.46</v>
      </c>
      <c r="W240" s="8">
        <v>830.76</v>
      </c>
      <c r="X240" s="8">
        <v>738.78</v>
      </c>
      <c r="Y240" s="8">
        <v>631.26</v>
      </c>
      <c r="Z240" s="8">
        <v>560.70000000000005</v>
      </c>
    </row>
    <row r="241" spans="1:26" x14ac:dyDescent="0.25">
      <c r="A241" s="4">
        <v>41508</v>
      </c>
      <c r="B241" s="5">
        <f>SUM('2013 - 8760 Load'!_Day600)</f>
        <v>16347.24</v>
      </c>
      <c r="C241" s="8">
        <v>519.96</v>
      </c>
      <c r="D241" s="8">
        <v>503.16</v>
      </c>
      <c r="E241" s="8">
        <v>493.5</v>
      </c>
      <c r="F241" s="8">
        <v>490.56</v>
      </c>
      <c r="G241" s="8">
        <v>505.26</v>
      </c>
      <c r="H241" s="8">
        <v>545.16</v>
      </c>
      <c r="I241" s="8">
        <v>559.86</v>
      </c>
      <c r="J241" s="8">
        <v>621.17999999999995</v>
      </c>
      <c r="K241" s="8">
        <v>645.54</v>
      </c>
      <c r="L241" s="8">
        <v>668.22</v>
      </c>
      <c r="M241" s="8">
        <v>712.74</v>
      </c>
      <c r="N241" s="8">
        <v>740.04</v>
      </c>
      <c r="O241" s="8">
        <v>738.36</v>
      </c>
      <c r="P241" s="8">
        <v>758.1</v>
      </c>
      <c r="Q241" s="8">
        <v>769.02</v>
      </c>
      <c r="R241" s="8">
        <v>790.86</v>
      </c>
      <c r="S241" s="8">
        <v>822.78</v>
      </c>
      <c r="T241" s="8">
        <v>856.8</v>
      </c>
      <c r="U241" s="8">
        <v>849.24</v>
      </c>
      <c r="V241" s="8">
        <v>893.76</v>
      </c>
      <c r="W241" s="8">
        <v>841.26</v>
      </c>
      <c r="X241" s="8">
        <v>750.96</v>
      </c>
      <c r="Y241" s="8">
        <v>667.8</v>
      </c>
      <c r="Z241" s="8">
        <v>603.12</v>
      </c>
    </row>
    <row r="242" spans="1:26" x14ac:dyDescent="0.25">
      <c r="A242" s="4">
        <v>41509</v>
      </c>
      <c r="B242" s="5">
        <f>SUM('2013 - 8760 Load'!_Day601)</f>
        <v>15763.86</v>
      </c>
      <c r="C242" s="8">
        <v>555.66</v>
      </c>
      <c r="D242" s="8">
        <v>539.70000000000005</v>
      </c>
      <c r="E242" s="8">
        <v>514.91999999999996</v>
      </c>
      <c r="F242" s="8">
        <v>509.46</v>
      </c>
      <c r="G242" s="8">
        <v>522.48</v>
      </c>
      <c r="H242" s="8">
        <v>540.96</v>
      </c>
      <c r="I242" s="8">
        <v>575.82000000000005</v>
      </c>
      <c r="J242" s="8">
        <v>616.55999999999995</v>
      </c>
      <c r="K242" s="8">
        <v>659.4</v>
      </c>
      <c r="L242" s="8">
        <v>678.3</v>
      </c>
      <c r="M242" s="8">
        <v>709.38</v>
      </c>
      <c r="N242" s="8">
        <v>693</v>
      </c>
      <c r="O242" s="8">
        <v>678.72</v>
      </c>
      <c r="P242" s="8">
        <v>669.48</v>
      </c>
      <c r="Q242" s="8">
        <v>660.66</v>
      </c>
      <c r="R242" s="8">
        <v>682.5</v>
      </c>
      <c r="S242" s="8">
        <v>729.96</v>
      </c>
      <c r="T242" s="8">
        <v>738.78</v>
      </c>
      <c r="U242" s="8">
        <v>767.76</v>
      </c>
      <c r="V242" s="8">
        <v>811.86</v>
      </c>
      <c r="W242" s="8">
        <v>817.74</v>
      </c>
      <c r="X242" s="8">
        <v>769.02</v>
      </c>
      <c r="Y242" s="8">
        <v>691.32</v>
      </c>
      <c r="Z242" s="8">
        <v>630.41999999999996</v>
      </c>
    </row>
    <row r="243" spans="1:26" x14ac:dyDescent="0.25">
      <c r="A243" s="4">
        <v>41510</v>
      </c>
      <c r="B243" s="5">
        <f>SUM('2013 - 8760 Load'!_Day602)</f>
        <v>15669.779999999997</v>
      </c>
      <c r="C243" s="8">
        <v>568.26</v>
      </c>
      <c r="D243" s="8">
        <v>548.1</v>
      </c>
      <c r="E243" s="8">
        <v>521.64</v>
      </c>
      <c r="F243" s="8">
        <v>506.1</v>
      </c>
      <c r="G243" s="8">
        <v>513.66</v>
      </c>
      <c r="H243" s="8">
        <v>530.88</v>
      </c>
      <c r="I243" s="8">
        <v>569.94000000000005</v>
      </c>
      <c r="J243" s="8">
        <v>644.28</v>
      </c>
      <c r="K243" s="8">
        <v>665.28</v>
      </c>
      <c r="L243" s="8">
        <v>723.66</v>
      </c>
      <c r="M243" s="8">
        <v>698.46</v>
      </c>
      <c r="N243" s="8">
        <v>698.04</v>
      </c>
      <c r="O243" s="8">
        <v>690.48</v>
      </c>
      <c r="P243" s="8">
        <v>663.6</v>
      </c>
      <c r="Q243" s="8">
        <v>678.3</v>
      </c>
      <c r="R243" s="8">
        <v>679.98</v>
      </c>
      <c r="S243" s="8">
        <v>733.32</v>
      </c>
      <c r="T243" s="8">
        <v>725.34</v>
      </c>
      <c r="U243" s="8">
        <v>751.8</v>
      </c>
      <c r="V243" s="8">
        <v>825.3</v>
      </c>
      <c r="W243" s="8">
        <v>777.84</v>
      </c>
      <c r="X243" s="8">
        <v>733.32</v>
      </c>
      <c r="Y243" s="8">
        <v>652.67999999999995</v>
      </c>
      <c r="Z243" s="8">
        <v>569.52</v>
      </c>
    </row>
    <row r="244" spans="1:26" x14ac:dyDescent="0.25">
      <c r="A244" s="4">
        <v>41511</v>
      </c>
      <c r="B244" s="5">
        <f>SUM('2013 - 8760 Load'!_Day603)</f>
        <v>15354.359999999997</v>
      </c>
      <c r="C244" s="8">
        <v>529.20000000000005</v>
      </c>
      <c r="D244" s="8">
        <v>501.48</v>
      </c>
      <c r="E244" s="8">
        <v>480.9</v>
      </c>
      <c r="F244" s="8">
        <v>481.32</v>
      </c>
      <c r="G244" s="8">
        <v>487.2</v>
      </c>
      <c r="H244" s="8">
        <v>476.7</v>
      </c>
      <c r="I244" s="8">
        <v>522.48</v>
      </c>
      <c r="J244" s="8">
        <v>606.9</v>
      </c>
      <c r="K244" s="8">
        <v>694.26</v>
      </c>
      <c r="L244" s="8">
        <v>697.62</v>
      </c>
      <c r="M244" s="8">
        <v>671.16</v>
      </c>
      <c r="N244" s="8">
        <v>691.32</v>
      </c>
      <c r="O244" s="8">
        <v>708.12</v>
      </c>
      <c r="P244" s="8">
        <v>715.26</v>
      </c>
      <c r="Q244" s="8">
        <v>731.22</v>
      </c>
      <c r="R244" s="8">
        <v>714.42</v>
      </c>
      <c r="S244" s="8">
        <v>768.6</v>
      </c>
      <c r="T244" s="8">
        <v>761.88</v>
      </c>
      <c r="U244" s="8">
        <v>741.3</v>
      </c>
      <c r="V244" s="8">
        <v>789.6</v>
      </c>
      <c r="W244" s="8">
        <v>750.96</v>
      </c>
      <c r="X244" s="8">
        <v>690.9</v>
      </c>
      <c r="Y244" s="8">
        <v>595.98</v>
      </c>
      <c r="Z244" s="8">
        <v>545.58000000000004</v>
      </c>
    </row>
    <row r="245" spans="1:26" x14ac:dyDescent="0.25">
      <c r="A245" s="4">
        <v>41512</v>
      </c>
      <c r="B245" s="5">
        <f>SUM('2013 - 8760 Load'!_Day604)</f>
        <v>15141.84</v>
      </c>
      <c r="C245" s="8">
        <v>511.14</v>
      </c>
      <c r="D245" s="8">
        <v>490.98</v>
      </c>
      <c r="E245" s="8">
        <v>480.48</v>
      </c>
      <c r="F245" s="8">
        <v>475.44</v>
      </c>
      <c r="G245" s="8">
        <v>495.18</v>
      </c>
      <c r="H245" s="8">
        <v>528.78</v>
      </c>
      <c r="I245" s="8">
        <v>558.17999999999995</v>
      </c>
      <c r="J245" s="8">
        <v>596.82000000000005</v>
      </c>
      <c r="K245" s="8">
        <v>624.54</v>
      </c>
      <c r="L245" s="8">
        <v>648.9</v>
      </c>
      <c r="M245" s="8">
        <v>664.02</v>
      </c>
      <c r="N245" s="8">
        <v>658.14</v>
      </c>
      <c r="O245" s="8">
        <v>666.12</v>
      </c>
      <c r="P245" s="8">
        <v>674.94</v>
      </c>
      <c r="Q245" s="8">
        <v>686.7</v>
      </c>
      <c r="R245" s="8">
        <v>717.78</v>
      </c>
      <c r="S245" s="8">
        <v>731.64</v>
      </c>
      <c r="T245" s="8">
        <v>746.76</v>
      </c>
      <c r="U245" s="8">
        <v>778.26</v>
      </c>
      <c r="V245" s="8">
        <v>807.24</v>
      </c>
      <c r="W245" s="8">
        <v>757.68</v>
      </c>
      <c r="X245" s="8">
        <v>678.72</v>
      </c>
      <c r="Y245" s="8">
        <v>612.36</v>
      </c>
      <c r="Z245" s="8">
        <v>551.04</v>
      </c>
    </row>
    <row r="246" spans="1:26" x14ac:dyDescent="0.25">
      <c r="A246" s="4">
        <v>41513</v>
      </c>
      <c r="B246" s="5">
        <f>SUM('2013 - 8760 Load'!_Day605)</f>
        <v>15885.660000000002</v>
      </c>
      <c r="C246" s="8">
        <v>519.96</v>
      </c>
      <c r="D246" s="8">
        <v>509.04</v>
      </c>
      <c r="E246" s="8">
        <v>504</v>
      </c>
      <c r="F246" s="8">
        <v>493.08</v>
      </c>
      <c r="G246" s="8">
        <v>506.52</v>
      </c>
      <c r="H246" s="8">
        <v>552.72</v>
      </c>
      <c r="I246" s="8">
        <v>572.46</v>
      </c>
      <c r="J246" s="8">
        <v>612.78</v>
      </c>
      <c r="K246" s="8">
        <v>640.91999999999996</v>
      </c>
      <c r="L246" s="8">
        <v>680.4</v>
      </c>
      <c r="M246" s="8">
        <v>691.32</v>
      </c>
      <c r="N246" s="8">
        <v>708.12</v>
      </c>
      <c r="O246" s="8">
        <v>723.24</v>
      </c>
      <c r="P246" s="8">
        <v>728.7</v>
      </c>
      <c r="Q246" s="8">
        <v>744.24</v>
      </c>
      <c r="R246" s="8">
        <v>781.62</v>
      </c>
      <c r="S246" s="8">
        <v>812.28</v>
      </c>
      <c r="T246" s="8">
        <v>802.2</v>
      </c>
      <c r="U246" s="8">
        <v>788.34</v>
      </c>
      <c r="V246" s="8">
        <v>829.08</v>
      </c>
      <c r="W246" s="8">
        <v>779.52</v>
      </c>
      <c r="X246" s="8">
        <v>715.68</v>
      </c>
      <c r="Y246" s="8">
        <v>633.36</v>
      </c>
      <c r="Z246" s="8">
        <v>556.08000000000004</v>
      </c>
    </row>
    <row r="247" spans="1:26" x14ac:dyDescent="0.25">
      <c r="A247" s="4">
        <v>41514</v>
      </c>
      <c r="B247" s="5">
        <f>SUM('2013 - 8760 Load'!_Day606)</f>
        <v>15443.820000000002</v>
      </c>
      <c r="C247" s="8">
        <v>529.20000000000005</v>
      </c>
      <c r="D247" s="8">
        <v>509.04</v>
      </c>
      <c r="E247" s="8">
        <v>493.92</v>
      </c>
      <c r="F247" s="8">
        <v>489.72</v>
      </c>
      <c r="G247" s="8">
        <v>502.74</v>
      </c>
      <c r="H247" s="8">
        <v>528.36</v>
      </c>
      <c r="I247" s="8">
        <v>554.82000000000005</v>
      </c>
      <c r="J247" s="8">
        <v>574.98</v>
      </c>
      <c r="K247" s="8">
        <v>623.70000000000005</v>
      </c>
      <c r="L247" s="8">
        <v>636.29999999999995</v>
      </c>
      <c r="M247" s="8">
        <v>679.14</v>
      </c>
      <c r="N247" s="8">
        <v>703.92</v>
      </c>
      <c r="O247" s="8">
        <v>725.34</v>
      </c>
      <c r="P247" s="8">
        <v>729.12</v>
      </c>
      <c r="Q247" s="8">
        <v>694.26</v>
      </c>
      <c r="R247" s="8">
        <v>716.52</v>
      </c>
      <c r="S247" s="8">
        <v>732.9</v>
      </c>
      <c r="T247" s="8">
        <v>761.46</v>
      </c>
      <c r="U247" s="8">
        <v>797.58</v>
      </c>
      <c r="V247" s="8">
        <v>821.94</v>
      </c>
      <c r="W247" s="8">
        <v>787.92</v>
      </c>
      <c r="X247" s="8">
        <v>688.38</v>
      </c>
      <c r="Y247" s="8">
        <v>609</v>
      </c>
      <c r="Z247" s="8">
        <v>553.55999999999995</v>
      </c>
    </row>
    <row r="248" spans="1:26" x14ac:dyDescent="0.25">
      <c r="A248" s="4">
        <v>41515</v>
      </c>
      <c r="B248" s="5">
        <f>SUM('2013 - 8760 Load'!_Day607)</f>
        <v>15215.339999999998</v>
      </c>
      <c r="C248" s="8">
        <v>514.91999999999996</v>
      </c>
      <c r="D248" s="8">
        <v>494.34</v>
      </c>
      <c r="E248" s="8">
        <v>480.48</v>
      </c>
      <c r="F248" s="8">
        <v>485.94</v>
      </c>
      <c r="G248" s="8">
        <v>502.74</v>
      </c>
      <c r="H248" s="8">
        <v>527.1</v>
      </c>
      <c r="I248" s="8">
        <v>567.84</v>
      </c>
      <c r="J248" s="8">
        <v>580.44000000000005</v>
      </c>
      <c r="K248" s="8">
        <v>629.16</v>
      </c>
      <c r="L248" s="8">
        <v>639.24</v>
      </c>
      <c r="M248" s="8">
        <v>638.4</v>
      </c>
      <c r="N248" s="8">
        <v>654.36</v>
      </c>
      <c r="O248" s="8">
        <v>664.44</v>
      </c>
      <c r="P248" s="8">
        <v>670.74</v>
      </c>
      <c r="Q248" s="8">
        <v>709.8</v>
      </c>
      <c r="R248" s="8">
        <v>704.34</v>
      </c>
      <c r="S248" s="8">
        <v>758.94</v>
      </c>
      <c r="T248" s="8">
        <v>771.54</v>
      </c>
      <c r="U248" s="8">
        <v>765.24</v>
      </c>
      <c r="V248" s="8">
        <v>809.34</v>
      </c>
      <c r="W248" s="8">
        <v>763.14</v>
      </c>
      <c r="X248" s="8">
        <v>695.52</v>
      </c>
      <c r="Y248" s="8">
        <v>621.17999999999995</v>
      </c>
      <c r="Z248" s="8">
        <v>566.16</v>
      </c>
    </row>
    <row r="249" spans="1:26" x14ac:dyDescent="0.25">
      <c r="A249" s="4">
        <v>41516</v>
      </c>
      <c r="B249" s="5">
        <f>SUM('2013 - 8760 Load'!_Day608)</f>
        <v>16897.86</v>
      </c>
      <c r="C249" s="8">
        <v>522.05999999999995</v>
      </c>
      <c r="D249" s="8">
        <v>493.92</v>
      </c>
      <c r="E249" s="8">
        <v>496.44</v>
      </c>
      <c r="F249" s="8">
        <v>489.3</v>
      </c>
      <c r="G249" s="8">
        <v>502.74</v>
      </c>
      <c r="H249" s="8">
        <v>531.29999999999995</v>
      </c>
      <c r="I249" s="8">
        <v>567.84</v>
      </c>
      <c r="J249" s="8">
        <v>611.1</v>
      </c>
      <c r="K249" s="8">
        <v>665.7</v>
      </c>
      <c r="L249" s="8">
        <v>689.22</v>
      </c>
      <c r="M249" s="8">
        <v>710.64</v>
      </c>
      <c r="N249" s="8">
        <v>759.36</v>
      </c>
      <c r="O249" s="8">
        <v>774.9</v>
      </c>
      <c r="P249" s="8">
        <v>788.76</v>
      </c>
      <c r="Q249" s="8">
        <v>786.24</v>
      </c>
      <c r="R249" s="8">
        <v>783.3</v>
      </c>
      <c r="S249" s="8">
        <v>842.1</v>
      </c>
      <c r="T249" s="8">
        <v>880.32</v>
      </c>
      <c r="U249" s="8">
        <v>906.36</v>
      </c>
      <c r="V249" s="8">
        <v>945</v>
      </c>
      <c r="W249" s="8">
        <v>904.26</v>
      </c>
      <c r="X249" s="8">
        <v>847.56</v>
      </c>
      <c r="Y249" s="8">
        <v>747.6</v>
      </c>
      <c r="Z249" s="8">
        <v>651.84</v>
      </c>
    </row>
    <row r="250" spans="1:26" x14ac:dyDescent="0.25">
      <c r="A250" s="4">
        <v>41517</v>
      </c>
      <c r="B250" s="5">
        <f>SUM('2013 - 8760 Load'!_Day609)</f>
        <v>18446.82</v>
      </c>
      <c r="C250" s="8">
        <v>604.79999999999995</v>
      </c>
      <c r="D250" s="8">
        <v>558.17999999999995</v>
      </c>
      <c r="E250" s="8">
        <v>544.74</v>
      </c>
      <c r="F250" s="8">
        <v>530.88</v>
      </c>
      <c r="G250" s="8">
        <v>538.86</v>
      </c>
      <c r="H250" s="8">
        <v>549.78</v>
      </c>
      <c r="I250" s="8">
        <v>592.20000000000005</v>
      </c>
      <c r="J250" s="8">
        <v>676.2</v>
      </c>
      <c r="K250" s="8">
        <v>742.14</v>
      </c>
      <c r="L250" s="8">
        <v>797.58</v>
      </c>
      <c r="M250" s="8">
        <v>820.68</v>
      </c>
      <c r="N250" s="8">
        <v>818.16</v>
      </c>
      <c r="O250" s="8">
        <v>833.28</v>
      </c>
      <c r="P250" s="8">
        <v>847.98</v>
      </c>
      <c r="Q250" s="8">
        <v>867.72</v>
      </c>
      <c r="R250" s="8">
        <v>869.4</v>
      </c>
      <c r="S250" s="8">
        <v>959.7</v>
      </c>
      <c r="T250" s="8">
        <v>993.3</v>
      </c>
      <c r="U250" s="8">
        <v>950.04</v>
      </c>
      <c r="V250" s="8">
        <v>987.84</v>
      </c>
      <c r="W250" s="8">
        <v>955.5</v>
      </c>
      <c r="X250" s="8">
        <v>872.34</v>
      </c>
      <c r="Y250" s="8">
        <v>828.66</v>
      </c>
      <c r="Z250" s="8">
        <v>706.86</v>
      </c>
    </row>
    <row r="251" spans="1:26" x14ac:dyDescent="0.25">
      <c r="A251" s="4">
        <v>41518</v>
      </c>
      <c r="B251" s="5">
        <f>SUM('2013 - 8760 Load'!_Day610)</f>
        <v>19195.260000000002</v>
      </c>
      <c r="C251" s="8">
        <v>631.26</v>
      </c>
      <c r="D251" s="8">
        <v>593.04</v>
      </c>
      <c r="E251" s="8">
        <v>563.64</v>
      </c>
      <c r="F251" s="8">
        <v>555.24</v>
      </c>
      <c r="G251" s="8">
        <v>568.67999999999995</v>
      </c>
      <c r="H251" s="8">
        <v>573.29999999999995</v>
      </c>
      <c r="I251" s="8">
        <v>619.08000000000004</v>
      </c>
      <c r="J251" s="8">
        <v>751.8</v>
      </c>
      <c r="K251" s="8">
        <v>832.86</v>
      </c>
      <c r="L251" s="8">
        <v>856.38</v>
      </c>
      <c r="M251" s="8">
        <v>901.32</v>
      </c>
      <c r="N251" s="8">
        <v>929.46</v>
      </c>
      <c r="O251" s="8">
        <v>927.78</v>
      </c>
      <c r="P251" s="8">
        <v>948.36</v>
      </c>
      <c r="Q251" s="8">
        <v>966.42</v>
      </c>
      <c r="R251" s="8">
        <v>964.74</v>
      </c>
      <c r="S251" s="8">
        <v>970.2</v>
      </c>
      <c r="T251" s="8">
        <v>956.34</v>
      </c>
      <c r="U251" s="8">
        <v>923.16</v>
      </c>
      <c r="V251" s="8">
        <v>935.76</v>
      </c>
      <c r="W251" s="8">
        <v>922.32</v>
      </c>
      <c r="X251" s="8">
        <v>843.78</v>
      </c>
      <c r="Y251" s="8">
        <v>770.28</v>
      </c>
      <c r="Z251" s="8">
        <v>690.06</v>
      </c>
    </row>
    <row r="252" spans="1:26" x14ac:dyDescent="0.25">
      <c r="A252" s="4">
        <v>41519</v>
      </c>
      <c r="B252" s="5">
        <f>SUM('2013 - 8760 Load'!_Day611)</f>
        <v>17834.04</v>
      </c>
      <c r="C252" s="8">
        <v>627.05999999999995</v>
      </c>
      <c r="D252" s="8">
        <v>589.67999999999995</v>
      </c>
      <c r="E252" s="8">
        <v>567.84</v>
      </c>
      <c r="F252" s="8">
        <v>554.82000000000005</v>
      </c>
      <c r="G252" s="8">
        <v>559.44000000000005</v>
      </c>
      <c r="H252" s="8">
        <v>565.32000000000005</v>
      </c>
      <c r="I252" s="8">
        <v>610.26</v>
      </c>
      <c r="J252" s="8">
        <v>727.86</v>
      </c>
      <c r="K252" s="8">
        <v>852.6</v>
      </c>
      <c r="L252" s="8">
        <v>884.1</v>
      </c>
      <c r="M252" s="8">
        <v>877.8</v>
      </c>
      <c r="N252" s="8">
        <v>892.5</v>
      </c>
      <c r="O252" s="8">
        <v>890.4</v>
      </c>
      <c r="P252" s="8">
        <v>865.2</v>
      </c>
      <c r="Q252" s="8">
        <v>900.9</v>
      </c>
      <c r="R252" s="8">
        <v>843.78</v>
      </c>
      <c r="S252" s="8">
        <v>824.46</v>
      </c>
      <c r="T252" s="8">
        <v>838.32</v>
      </c>
      <c r="U252" s="8">
        <v>837.06</v>
      </c>
      <c r="V252" s="8">
        <v>842.52</v>
      </c>
      <c r="W252" s="8">
        <v>795.48</v>
      </c>
      <c r="X252" s="8">
        <v>699.3</v>
      </c>
      <c r="Y252" s="8">
        <v>616.55999999999995</v>
      </c>
      <c r="Z252" s="8">
        <v>570.78</v>
      </c>
    </row>
    <row r="253" spans="1:26" x14ac:dyDescent="0.25">
      <c r="A253" s="4">
        <v>41520</v>
      </c>
      <c r="B253" s="5">
        <f>SUM('2013 - 8760 Load'!_Day612)</f>
        <v>14430.78</v>
      </c>
      <c r="C253" s="8">
        <v>527.94000000000005</v>
      </c>
      <c r="D253" s="8">
        <v>514.08000000000004</v>
      </c>
      <c r="E253" s="8">
        <v>499.8</v>
      </c>
      <c r="F253" s="8">
        <v>500.22</v>
      </c>
      <c r="G253" s="8">
        <v>519.54</v>
      </c>
      <c r="H253" s="8">
        <v>567</v>
      </c>
      <c r="I253" s="8">
        <v>579.17999999999995</v>
      </c>
      <c r="J253" s="8">
        <v>616.98</v>
      </c>
      <c r="K253" s="8">
        <v>624.54</v>
      </c>
      <c r="L253" s="8">
        <v>623.70000000000005</v>
      </c>
      <c r="M253" s="8">
        <v>656.88</v>
      </c>
      <c r="N253" s="8">
        <v>637.14</v>
      </c>
      <c r="O253" s="8">
        <v>619.91999999999996</v>
      </c>
      <c r="P253" s="8">
        <v>639.24</v>
      </c>
      <c r="Q253" s="8">
        <v>619.5</v>
      </c>
      <c r="R253" s="8">
        <v>641.76</v>
      </c>
      <c r="S253" s="8">
        <v>649.32000000000005</v>
      </c>
      <c r="T253" s="8">
        <v>653.94000000000005</v>
      </c>
      <c r="U253" s="8">
        <v>686.28</v>
      </c>
      <c r="V253" s="8">
        <v>721.56</v>
      </c>
      <c r="W253" s="8">
        <v>677.46</v>
      </c>
      <c r="X253" s="8">
        <v>598.91999999999996</v>
      </c>
      <c r="Y253" s="8">
        <v>540.96</v>
      </c>
      <c r="Z253" s="8">
        <v>514.91999999999996</v>
      </c>
    </row>
    <row r="254" spans="1:26" x14ac:dyDescent="0.25">
      <c r="A254" s="4">
        <v>41521</v>
      </c>
      <c r="B254" s="5">
        <f>SUM('2013 - 8760 Load'!_Day613)</f>
        <v>13656.300000000001</v>
      </c>
      <c r="C254" s="8">
        <v>485.94</v>
      </c>
      <c r="D254" s="8">
        <v>466.2</v>
      </c>
      <c r="E254" s="8">
        <v>451.92</v>
      </c>
      <c r="F254" s="8">
        <v>462</v>
      </c>
      <c r="G254" s="8">
        <v>474.18</v>
      </c>
      <c r="H254" s="8">
        <v>513.24</v>
      </c>
      <c r="I254" s="8">
        <v>547.67999999999995</v>
      </c>
      <c r="J254" s="8">
        <v>545.58000000000004</v>
      </c>
      <c r="K254" s="8">
        <v>567</v>
      </c>
      <c r="L254" s="8">
        <v>575.82000000000005</v>
      </c>
      <c r="M254" s="8">
        <v>572.46</v>
      </c>
      <c r="N254" s="8">
        <v>590.1</v>
      </c>
      <c r="O254" s="8">
        <v>568.26</v>
      </c>
      <c r="P254" s="8">
        <v>575.82000000000005</v>
      </c>
      <c r="Q254" s="8">
        <v>598.5</v>
      </c>
      <c r="R254" s="8">
        <v>598.91999999999996</v>
      </c>
      <c r="S254" s="8">
        <v>631.26</v>
      </c>
      <c r="T254" s="8">
        <v>655.62</v>
      </c>
      <c r="U254" s="8">
        <v>685.02</v>
      </c>
      <c r="V254" s="8">
        <v>725.34</v>
      </c>
      <c r="W254" s="8">
        <v>679.98</v>
      </c>
      <c r="X254" s="8">
        <v>632.1</v>
      </c>
      <c r="Y254" s="8">
        <v>547.67999999999995</v>
      </c>
      <c r="Z254" s="8">
        <v>505.68</v>
      </c>
    </row>
    <row r="255" spans="1:26" x14ac:dyDescent="0.25">
      <c r="A255" s="4">
        <v>41522</v>
      </c>
      <c r="B255" s="5">
        <f>SUM('2013 - 8760 Load'!_Day614)</f>
        <v>13101.480000000001</v>
      </c>
      <c r="C255" s="8">
        <v>468.3</v>
      </c>
      <c r="D255" s="8">
        <v>454.86</v>
      </c>
      <c r="E255" s="8">
        <v>446.88</v>
      </c>
      <c r="F255" s="8">
        <v>446.46</v>
      </c>
      <c r="G255" s="8">
        <v>469.56</v>
      </c>
      <c r="H255" s="8">
        <v>507.36</v>
      </c>
      <c r="I255" s="8">
        <v>522.05999999999995</v>
      </c>
      <c r="J255" s="8">
        <v>546.84</v>
      </c>
      <c r="K255" s="8">
        <v>577.5</v>
      </c>
      <c r="L255" s="8">
        <v>572.04</v>
      </c>
      <c r="M255" s="8">
        <v>574.55999999999995</v>
      </c>
      <c r="N255" s="8">
        <v>571.62</v>
      </c>
      <c r="O255" s="8">
        <v>563.64</v>
      </c>
      <c r="P255" s="8">
        <v>537.17999999999995</v>
      </c>
      <c r="Q255" s="8">
        <v>538.44000000000005</v>
      </c>
      <c r="R255" s="8">
        <v>589.67999999999995</v>
      </c>
      <c r="S255" s="8">
        <v>601.44000000000005</v>
      </c>
      <c r="T255" s="8">
        <v>602.70000000000005</v>
      </c>
      <c r="U255" s="8">
        <v>624.96</v>
      </c>
      <c r="V255" s="8">
        <v>664.86</v>
      </c>
      <c r="W255" s="8">
        <v>620.76</v>
      </c>
      <c r="X255" s="8">
        <v>577.5</v>
      </c>
      <c r="Y255" s="8">
        <v>532.55999999999995</v>
      </c>
      <c r="Z255" s="8">
        <v>489.72</v>
      </c>
    </row>
    <row r="256" spans="1:26" x14ac:dyDescent="0.25">
      <c r="A256" s="4">
        <v>41523</v>
      </c>
      <c r="B256" s="5">
        <f>SUM('2013 - 8760 Load'!_Day615)</f>
        <v>13211.52</v>
      </c>
      <c r="C256" s="8">
        <v>459.48</v>
      </c>
      <c r="D256" s="8">
        <v>454.02</v>
      </c>
      <c r="E256" s="8">
        <v>437.64</v>
      </c>
      <c r="F256" s="8">
        <v>443.52</v>
      </c>
      <c r="G256" s="8">
        <v>467.88</v>
      </c>
      <c r="H256" s="8">
        <v>502.74</v>
      </c>
      <c r="I256" s="8">
        <v>538.02</v>
      </c>
      <c r="J256" s="8">
        <v>552.29999999999995</v>
      </c>
      <c r="K256" s="8">
        <v>568.67999999999995</v>
      </c>
      <c r="L256" s="8">
        <v>570.78</v>
      </c>
      <c r="M256" s="8">
        <v>555.24</v>
      </c>
      <c r="N256" s="8">
        <v>540.54</v>
      </c>
      <c r="O256" s="8">
        <v>547.67999999999995</v>
      </c>
      <c r="P256" s="8">
        <v>563.22</v>
      </c>
      <c r="Q256" s="8">
        <v>559.02</v>
      </c>
      <c r="R256" s="8">
        <v>566.58000000000004</v>
      </c>
      <c r="S256" s="8">
        <v>623.70000000000005</v>
      </c>
      <c r="T256" s="8">
        <v>637.98</v>
      </c>
      <c r="U256" s="8">
        <v>642.6</v>
      </c>
      <c r="V256" s="8">
        <v>651.84</v>
      </c>
      <c r="W256" s="8">
        <v>646.38</v>
      </c>
      <c r="X256" s="8">
        <v>610.67999999999995</v>
      </c>
      <c r="Y256" s="8">
        <v>564.05999999999995</v>
      </c>
      <c r="Z256" s="8">
        <v>506.94</v>
      </c>
    </row>
    <row r="257" spans="1:26" x14ac:dyDescent="0.25">
      <c r="A257" s="4">
        <v>41524</v>
      </c>
      <c r="B257" s="5">
        <f>SUM('2013 - 8760 Load'!_Day616)</f>
        <v>13703.759999999997</v>
      </c>
      <c r="C257" s="8">
        <v>483.84</v>
      </c>
      <c r="D257" s="8">
        <v>466.2</v>
      </c>
      <c r="E257" s="8">
        <v>447.72</v>
      </c>
      <c r="F257" s="8">
        <v>443.94</v>
      </c>
      <c r="G257" s="8">
        <v>454.44</v>
      </c>
      <c r="H257" s="8">
        <v>471.66</v>
      </c>
      <c r="I257" s="8">
        <v>517.02</v>
      </c>
      <c r="J257" s="8">
        <v>582.12</v>
      </c>
      <c r="K257" s="8">
        <v>606.9</v>
      </c>
      <c r="L257" s="8">
        <v>600.6</v>
      </c>
      <c r="M257" s="8">
        <v>598.91999999999996</v>
      </c>
      <c r="N257" s="8">
        <v>619.08000000000004</v>
      </c>
      <c r="O257" s="8">
        <v>587.58000000000004</v>
      </c>
      <c r="P257" s="8">
        <v>596.82000000000005</v>
      </c>
      <c r="Q257" s="8">
        <v>586.74</v>
      </c>
      <c r="R257" s="8">
        <v>612.36</v>
      </c>
      <c r="S257" s="8">
        <v>657.3</v>
      </c>
      <c r="T257" s="8">
        <v>668.22</v>
      </c>
      <c r="U257" s="8">
        <v>688.8</v>
      </c>
      <c r="V257" s="8">
        <v>693.84</v>
      </c>
      <c r="W257" s="8">
        <v>661.92</v>
      </c>
      <c r="X257" s="8">
        <v>612.36</v>
      </c>
      <c r="Y257" s="8">
        <v>546.41999999999996</v>
      </c>
      <c r="Z257" s="8">
        <v>498.96</v>
      </c>
    </row>
    <row r="258" spans="1:26" x14ac:dyDescent="0.25">
      <c r="A258" s="4">
        <v>41525</v>
      </c>
      <c r="B258" s="5">
        <f>SUM('2013 - 8760 Load'!_Day617)</f>
        <v>13824.720000000003</v>
      </c>
      <c r="C258" s="8">
        <v>476.7</v>
      </c>
      <c r="D258" s="8">
        <v>452.34</v>
      </c>
      <c r="E258" s="8">
        <v>450.24</v>
      </c>
      <c r="F258" s="8">
        <v>443.1</v>
      </c>
      <c r="G258" s="8">
        <v>443.1</v>
      </c>
      <c r="H258" s="8">
        <v>443.52</v>
      </c>
      <c r="I258" s="8">
        <v>488.04</v>
      </c>
      <c r="J258" s="8">
        <v>559.86</v>
      </c>
      <c r="K258" s="8">
        <v>646.38</v>
      </c>
      <c r="L258" s="8">
        <v>700.98</v>
      </c>
      <c r="M258" s="8">
        <v>688.8</v>
      </c>
      <c r="N258" s="8">
        <v>659.82</v>
      </c>
      <c r="O258" s="8">
        <v>636.29999999999995</v>
      </c>
      <c r="P258" s="8">
        <v>621.17999999999995</v>
      </c>
      <c r="Q258" s="8">
        <v>642.6</v>
      </c>
      <c r="R258" s="8">
        <v>616.14</v>
      </c>
      <c r="S258" s="8">
        <v>643.44000000000005</v>
      </c>
      <c r="T258" s="8">
        <v>670.32</v>
      </c>
      <c r="U258" s="8">
        <v>695.52</v>
      </c>
      <c r="V258" s="8">
        <v>706.44</v>
      </c>
      <c r="W258" s="8">
        <v>620.76</v>
      </c>
      <c r="X258" s="8">
        <v>557.76</v>
      </c>
      <c r="Y258" s="8">
        <v>505.26</v>
      </c>
      <c r="Z258" s="8">
        <v>456.12</v>
      </c>
    </row>
    <row r="259" spans="1:26" x14ac:dyDescent="0.25">
      <c r="A259" s="4">
        <v>41526</v>
      </c>
      <c r="B259" s="5">
        <f>SUM('2013 - 8760 Load'!_Day618)</f>
        <v>12530.28</v>
      </c>
      <c r="C259" s="8">
        <v>445.62</v>
      </c>
      <c r="D259" s="8">
        <v>436.38</v>
      </c>
      <c r="E259" s="8">
        <v>427.98</v>
      </c>
      <c r="F259" s="8">
        <v>438.9</v>
      </c>
      <c r="G259" s="8">
        <v>473.34</v>
      </c>
      <c r="H259" s="8">
        <v>532.98</v>
      </c>
      <c r="I259" s="8">
        <v>528.36</v>
      </c>
      <c r="J259" s="8">
        <v>530.46</v>
      </c>
      <c r="K259" s="8">
        <v>517.86</v>
      </c>
      <c r="L259" s="8">
        <v>548.1</v>
      </c>
      <c r="M259" s="8">
        <v>535.08000000000004</v>
      </c>
      <c r="N259" s="8">
        <v>513.66</v>
      </c>
      <c r="O259" s="8">
        <v>520.38</v>
      </c>
      <c r="P259" s="8">
        <v>501.9</v>
      </c>
      <c r="Q259" s="8">
        <v>483.42</v>
      </c>
      <c r="R259" s="8">
        <v>525</v>
      </c>
      <c r="S259" s="8">
        <v>571.20000000000005</v>
      </c>
      <c r="T259" s="8">
        <v>593.88</v>
      </c>
      <c r="U259" s="8">
        <v>643.02</v>
      </c>
      <c r="V259" s="8">
        <v>642.17999999999995</v>
      </c>
      <c r="W259" s="8">
        <v>599.76</v>
      </c>
      <c r="X259" s="8">
        <v>554.82000000000005</v>
      </c>
      <c r="Y259" s="8">
        <v>501.06</v>
      </c>
      <c r="Z259" s="8">
        <v>464.94</v>
      </c>
    </row>
    <row r="260" spans="1:26" x14ac:dyDescent="0.25">
      <c r="A260" s="4">
        <v>41527</v>
      </c>
      <c r="B260" s="5">
        <f>SUM('2013 - 8760 Load'!_Day619)</f>
        <v>13672.260000000004</v>
      </c>
      <c r="C260" s="8">
        <v>446.46</v>
      </c>
      <c r="D260" s="8">
        <v>435.54</v>
      </c>
      <c r="E260" s="8">
        <v>426.3</v>
      </c>
      <c r="F260" s="8">
        <v>433.02</v>
      </c>
      <c r="G260" s="8">
        <v>476.28</v>
      </c>
      <c r="H260" s="8">
        <v>536.76</v>
      </c>
      <c r="I260" s="8">
        <v>544.32000000000005</v>
      </c>
      <c r="J260" s="8">
        <v>540.96</v>
      </c>
      <c r="K260" s="8">
        <v>561.12</v>
      </c>
      <c r="L260" s="8">
        <v>570.78</v>
      </c>
      <c r="M260" s="8">
        <v>572.04</v>
      </c>
      <c r="N260" s="8">
        <v>531.72</v>
      </c>
      <c r="O260" s="8">
        <v>537.6</v>
      </c>
      <c r="P260" s="8">
        <v>564.9</v>
      </c>
      <c r="Q260" s="8">
        <v>573.29999999999995</v>
      </c>
      <c r="R260" s="8">
        <v>591.78</v>
      </c>
      <c r="S260" s="8">
        <v>633.78</v>
      </c>
      <c r="T260" s="8">
        <v>691.74</v>
      </c>
      <c r="U260" s="8">
        <v>740.04</v>
      </c>
      <c r="V260" s="8">
        <v>770.7</v>
      </c>
      <c r="W260" s="8">
        <v>711.48</v>
      </c>
      <c r="X260" s="8">
        <v>656.04</v>
      </c>
      <c r="Y260" s="8">
        <v>590.1</v>
      </c>
      <c r="Z260" s="8">
        <v>535.5</v>
      </c>
    </row>
    <row r="261" spans="1:26" x14ac:dyDescent="0.25">
      <c r="A261" s="4">
        <v>41528</v>
      </c>
      <c r="B261" s="5">
        <f>SUM('2013 - 8760 Load'!_Day620)</f>
        <v>15583.68</v>
      </c>
      <c r="C261" s="8">
        <v>496.44</v>
      </c>
      <c r="D261" s="8">
        <v>481.74</v>
      </c>
      <c r="E261" s="8">
        <v>476.28</v>
      </c>
      <c r="F261" s="8">
        <v>472.08</v>
      </c>
      <c r="G261" s="8">
        <v>497.7</v>
      </c>
      <c r="H261" s="8">
        <v>557.76</v>
      </c>
      <c r="I261" s="8">
        <v>578.76</v>
      </c>
      <c r="J261" s="8">
        <v>583.79999999999995</v>
      </c>
      <c r="K261" s="8">
        <v>605.64</v>
      </c>
      <c r="L261" s="8">
        <v>611.94000000000005</v>
      </c>
      <c r="M261" s="8">
        <v>647.64</v>
      </c>
      <c r="N261" s="8">
        <v>693</v>
      </c>
      <c r="O261" s="8">
        <v>733.74</v>
      </c>
      <c r="P261" s="8">
        <v>758.94</v>
      </c>
      <c r="Q261" s="8">
        <v>795.06</v>
      </c>
      <c r="R261" s="8">
        <v>819.84</v>
      </c>
      <c r="S261" s="8">
        <v>825.72</v>
      </c>
      <c r="T261" s="8">
        <v>853.02</v>
      </c>
      <c r="U261" s="8">
        <v>849.66</v>
      </c>
      <c r="V261" s="8">
        <v>802.62</v>
      </c>
      <c r="W261" s="8">
        <v>649.74</v>
      </c>
      <c r="X261" s="8">
        <v>647.64</v>
      </c>
      <c r="Y261" s="8">
        <v>596.4</v>
      </c>
      <c r="Z261" s="8">
        <v>548.52</v>
      </c>
    </row>
    <row r="262" spans="1:26" x14ac:dyDescent="0.25">
      <c r="A262" s="4">
        <v>41529</v>
      </c>
      <c r="B262" s="5">
        <f>SUM('2013 - 8760 Load'!_Day621)</f>
        <v>14539.56</v>
      </c>
      <c r="C262" s="8">
        <v>524.16</v>
      </c>
      <c r="D262" s="8">
        <v>498.12</v>
      </c>
      <c r="E262" s="8">
        <v>480.48</v>
      </c>
      <c r="F262" s="8">
        <v>485.94</v>
      </c>
      <c r="G262" s="8">
        <v>515.34</v>
      </c>
      <c r="H262" s="8">
        <v>564.48</v>
      </c>
      <c r="I262" s="8">
        <v>580.02</v>
      </c>
      <c r="J262" s="8">
        <v>564.9</v>
      </c>
      <c r="K262" s="8">
        <v>588.41999999999996</v>
      </c>
      <c r="L262" s="8">
        <v>609</v>
      </c>
      <c r="M262" s="8">
        <v>605.22</v>
      </c>
      <c r="N262" s="8">
        <v>627.48</v>
      </c>
      <c r="O262" s="8">
        <v>631.26</v>
      </c>
      <c r="P262" s="8">
        <v>639.66</v>
      </c>
      <c r="Q262" s="8">
        <v>677.46</v>
      </c>
      <c r="R262" s="8">
        <v>680.82</v>
      </c>
      <c r="S262" s="8">
        <v>717.36</v>
      </c>
      <c r="T262" s="8">
        <v>736.26</v>
      </c>
      <c r="U262" s="8">
        <v>738.78</v>
      </c>
      <c r="V262" s="8">
        <v>721.56</v>
      </c>
      <c r="W262" s="8">
        <v>686.28</v>
      </c>
      <c r="X262" s="8">
        <v>615.72</v>
      </c>
      <c r="Y262" s="8">
        <v>550.62</v>
      </c>
      <c r="Z262" s="8">
        <v>500.22</v>
      </c>
    </row>
    <row r="263" spans="1:26" x14ac:dyDescent="0.25">
      <c r="A263" s="4">
        <v>41530</v>
      </c>
      <c r="B263" s="5">
        <f>SUM('2013 - 8760 Load'!_Day622)</f>
        <v>13026.300000000001</v>
      </c>
      <c r="C263" s="8">
        <v>484.68</v>
      </c>
      <c r="D263" s="8">
        <v>473.76</v>
      </c>
      <c r="E263" s="8">
        <v>462.84</v>
      </c>
      <c r="F263" s="8">
        <v>464.52</v>
      </c>
      <c r="G263" s="8">
        <v>496.86</v>
      </c>
      <c r="H263" s="8">
        <v>543.48</v>
      </c>
      <c r="I263" s="8">
        <v>536.34</v>
      </c>
      <c r="J263" s="8">
        <v>540.12</v>
      </c>
      <c r="K263" s="8">
        <v>548.1</v>
      </c>
      <c r="L263" s="8">
        <v>548.52</v>
      </c>
      <c r="M263" s="8">
        <v>556.08000000000004</v>
      </c>
      <c r="N263" s="8">
        <v>553.98</v>
      </c>
      <c r="O263" s="8">
        <v>536.34</v>
      </c>
      <c r="P263" s="8">
        <v>538.86</v>
      </c>
      <c r="Q263" s="8">
        <v>539.70000000000005</v>
      </c>
      <c r="R263" s="8">
        <v>530.46</v>
      </c>
      <c r="S263" s="8">
        <v>556.08000000000004</v>
      </c>
      <c r="T263" s="8">
        <v>611.94000000000005</v>
      </c>
      <c r="U263" s="8">
        <v>639.24</v>
      </c>
      <c r="V263" s="8">
        <v>635.46</v>
      </c>
      <c r="W263" s="8">
        <v>640.5</v>
      </c>
      <c r="X263" s="8">
        <v>580.02</v>
      </c>
      <c r="Y263" s="8">
        <v>524.58000000000004</v>
      </c>
      <c r="Z263" s="8">
        <v>483.84</v>
      </c>
    </row>
    <row r="264" spans="1:26" x14ac:dyDescent="0.25">
      <c r="A264" s="4">
        <v>41531</v>
      </c>
      <c r="B264" s="5">
        <f>SUM('2013 - 8760 Load'!_Day623)</f>
        <v>14100.239999999996</v>
      </c>
      <c r="C264" s="8">
        <v>461.16</v>
      </c>
      <c r="D264" s="8">
        <v>453.18</v>
      </c>
      <c r="E264" s="8">
        <v>442.68</v>
      </c>
      <c r="F264" s="8">
        <v>436.38</v>
      </c>
      <c r="G264" s="8">
        <v>447.72</v>
      </c>
      <c r="H264" s="8">
        <v>469.14</v>
      </c>
      <c r="I264" s="8">
        <v>525.41999999999996</v>
      </c>
      <c r="J264" s="8">
        <v>574.98</v>
      </c>
      <c r="K264" s="8">
        <v>634.20000000000005</v>
      </c>
      <c r="L264" s="8">
        <v>630</v>
      </c>
      <c r="M264" s="8">
        <v>635.46</v>
      </c>
      <c r="N264" s="8">
        <v>655.62</v>
      </c>
      <c r="O264" s="8">
        <v>630.41999999999996</v>
      </c>
      <c r="P264" s="8">
        <v>637.14</v>
      </c>
      <c r="Q264" s="8">
        <v>645.54</v>
      </c>
      <c r="R264" s="8">
        <v>657.72</v>
      </c>
      <c r="S264" s="8">
        <v>663.6</v>
      </c>
      <c r="T264" s="8">
        <v>677.46</v>
      </c>
      <c r="U264" s="8">
        <v>719.88</v>
      </c>
      <c r="V264" s="8">
        <v>701.82</v>
      </c>
      <c r="W264" s="8">
        <v>690.06</v>
      </c>
      <c r="X264" s="8">
        <v>625.79999999999995</v>
      </c>
      <c r="Y264" s="8">
        <v>574.98</v>
      </c>
      <c r="Z264" s="8">
        <v>509.88</v>
      </c>
    </row>
    <row r="265" spans="1:26" x14ac:dyDescent="0.25">
      <c r="A265" s="4">
        <v>41532</v>
      </c>
      <c r="B265" s="5">
        <f>SUM('2013 - 8760 Load'!_Day624)</f>
        <v>13829.760000000002</v>
      </c>
      <c r="C265" s="8">
        <v>490.56</v>
      </c>
      <c r="D265" s="8">
        <v>474.6</v>
      </c>
      <c r="E265" s="8">
        <v>457.8</v>
      </c>
      <c r="F265" s="8">
        <v>455.28</v>
      </c>
      <c r="G265" s="8">
        <v>474.6</v>
      </c>
      <c r="H265" s="8">
        <v>496.86</v>
      </c>
      <c r="I265" s="8">
        <v>560.70000000000005</v>
      </c>
      <c r="J265" s="8">
        <v>632.94000000000005</v>
      </c>
      <c r="K265" s="8">
        <v>638.4</v>
      </c>
      <c r="L265" s="8">
        <v>640.5</v>
      </c>
      <c r="M265" s="8">
        <v>636.72</v>
      </c>
      <c r="N265" s="8">
        <v>641.34</v>
      </c>
      <c r="O265" s="8">
        <v>611.94000000000005</v>
      </c>
      <c r="P265" s="8">
        <v>571.20000000000005</v>
      </c>
      <c r="Q265" s="8">
        <v>582.12</v>
      </c>
      <c r="R265" s="8">
        <v>608.16</v>
      </c>
      <c r="S265" s="8">
        <v>617.82000000000005</v>
      </c>
      <c r="T265" s="8">
        <v>645.54</v>
      </c>
      <c r="U265" s="8">
        <v>711.06</v>
      </c>
      <c r="V265" s="8">
        <v>676.62</v>
      </c>
      <c r="W265" s="8">
        <v>639.24</v>
      </c>
      <c r="X265" s="8">
        <v>579.17999999999995</v>
      </c>
      <c r="Y265" s="8">
        <v>514.91999999999996</v>
      </c>
      <c r="Z265" s="8">
        <v>471.66</v>
      </c>
    </row>
    <row r="266" spans="1:26" x14ac:dyDescent="0.25">
      <c r="A266" s="4">
        <v>41533</v>
      </c>
      <c r="B266" s="5">
        <f>SUM('2013 - 8760 Load'!_Day625)</f>
        <v>12988.920000000002</v>
      </c>
      <c r="C266" s="8">
        <v>454.02</v>
      </c>
      <c r="D266" s="8">
        <v>447.72</v>
      </c>
      <c r="E266" s="8">
        <v>434.7</v>
      </c>
      <c r="F266" s="8">
        <v>436.8</v>
      </c>
      <c r="G266" s="8">
        <v>470.82</v>
      </c>
      <c r="H266" s="8">
        <v>554.4</v>
      </c>
      <c r="I266" s="8">
        <v>559.44000000000005</v>
      </c>
      <c r="J266" s="8">
        <v>549.36</v>
      </c>
      <c r="K266" s="8">
        <v>560.28</v>
      </c>
      <c r="L266" s="8">
        <v>562.79999999999995</v>
      </c>
      <c r="M266" s="8">
        <v>546</v>
      </c>
      <c r="N266" s="8">
        <v>551.46</v>
      </c>
      <c r="O266" s="8">
        <v>541.79999999999995</v>
      </c>
      <c r="P266" s="8">
        <v>517.86</v>
      </c>
      <c r="Q266" s="8">
        <v>528.78</v>
      </c>
      <c r="R266" s="8">
        <v>580.86</v>
      </c>
      <c r="S266" s="8">
        <v>590.52</v>
      </c>
      <c r="T266" s="8">
        <v>629.58000000000004</v>
      </c>
      <c r="U266" s="8">
        <v>660.24</v>
      </c>
      <c r="V266" s="8">
        <v>643.02</v>
      </c>
      <c r="W266" s="8">
        <v>627.05999999999995</v>
      </c>
      <c r="X266" s="8">
        <v>569.52</v>
      </c>
      <c r="Y266" s="8">
        <v>505.26</v>
      </c>
      <c r="Z266" s="8">
        <v>466.62</v>
      </c>
    </row>
    <row r="267" spans="1:26" x14ac:dyDescent="0.25">
      <c r="A267" s="4">
        <v>41534</v>
      </c>
      <c r="B267" s="5">
        <f>SUM('2013 - 8760 Load'!_Day626)</f>
        <v>13035.12</v>
      </c>
      <c r="C267" s="8">
        <v>454.02</v>
      </c>
      <c r="D267" s="8">
        <v>442.68</v>
      </c>
      <c r="E267" s="8">
        <v>439.74</v>
      </c>
      <c r="F267" s="8">
        <v>454.86</v>
      </c>
      <c r="G267" s="8">
        <v>495.6</v>
      </c>
      <c r="H267" s="8">
        <v>563.22</v>
      </c>
      <c r="I267" s="8">
        <v>583.79999999999995</v>
      </c>
      <c r="J267" s="8">
        <v>575.82000000000005</v>
      </c>
      <c r="K267" s="8">
        <v>571.20000000000005</v>
      </c>
      <c r="L267" s="8">
        <v>550.62</v>
      </c>
      <c r="M267" s="8">
        <v>545.16</v>
      </c>
      <c r="N267" s="8">
        <v>517.44000000000005</v>
      </c>
      <c r="O267" s="8">
        <v>502.74</v>
      </c>
      <c r="P267" s="8">
        <v>506.94</v>
      </c>
      <c r="Q267" s="8">
        <v>514.08000000000004</v>
      </c>
      <c r="R267" s="8">
        <v>524.16</v>
      </c>
      <c r="S267" s="8">
        <v>549.78</v>
      </c>
      <c r="T267" s="8">
        <v>619.08000000000004</v>
      </c>
      <c r="U267" s="8">
        <v>650.58000000000004</v>
      </c>
      <c r="V267" s="8">
        <v>690.06</v>
      </c>
      <c r="W267" s="8">
        <v>664.02</v>
      </c>
      <c r="X267" s="8">
        <v>607.74</v>
      </c>
      <c r="Y267" s="8">
        <v>528.78</v>
      </c>
      <c r="Z267" s="8">
        <v>483</v>
      </c>
    </row>
    <row r="268" spans="1:26" x14ac:dyDescent="0.25">
      <c r="A268" s="4">
        <v>41535</v>
      </c>
      <c r="B268" s="5">
        <f>SUM('2013 - 8760 Load'!_Day627)</f>
        <v>12959.1</v>
      </c>
      <c r="C268" s="8">
        <v>463.68</v>
      </c>
      <c r="D268" s="8">
        <v>452.76</v>
      </c>
      <c r="E268" s="8">
        <v>448.14</v>
      </c>
      <c r="F268" s="8">
        <v>463.26</v>
      </c>
      <c r="G268" s="8">
        <v>511.14</v>
      </c>
      <c r="H268" s="8">
        <v>587.58000000000004</v>
      </c>
      <c r="I268" s="8">
        <v>564.05999999999995</v>
      </c>
      <c r="J268" s="8">
        <v>558.6</v>
      </c>
      <c r="K268" s="8">
        <v>553.98</v>
      </c>
      <c r="L268" s="8">
        <v>549.36</v>
      </c>
      <c r="M268" s="8">
        <v>531.72</v>
      </c>
      <c r="N268" s="8">
        <v>513.24</v>
      </c>
      <c r="O268" s="8">
        <v>488.46</v>
      </c>
      <c r="P268" s="8">
        <v>501.48</v>
      </c>
      <c r="Q268" s="8">
        <v>505.68</v>
      </c>
      <c r="R268" s="8">
        <v>531.29999999999995</v>
      </c>
      <c r="S268" s="8">
        <v>567.41999999999996</v>
      </c>
      <c r="T268" s="8">
        <v>605.22</v>
      </c>
      <c r="U268" s="8">
        <v>665.28</v>
      </c>
      <c r="V268" s="8">
        <v>676.2</v>
      </c>
      <c r="W268" s="8">
        <v>637.55999999999995</v>
      </c>
      <c r="X268" s="8">
        <v>572.04</v>
      </c>
      <c r="Y268" s="8">
        <v>523.32000000000005</v>
      </c>
      <c r="Z268" s="8">
        <v>487.62</v>
      </c>
    </row>
    <row r="269" spans="1:26" x14ac:dyDescent="0.25">
      <c r="A269" s="4">
        <v>41536</v>
      </c>
      <c r="B269" s="5">
        <f>SUM('2013 - 8760 Load'!_Day628)</f>
        <v>12758.76</v>
      </c>
      <c r="C269" s="8">
        <v>466.62</v>
      </c>
      <c r="D269" s="8">
        <v>449.4</v>
      </c>
      <c r="E269" s="8">
        <v>446.88</v>
      </c>
      <c r="F269" s="8">
        <v>452.34</v>
      </c>
      <c r="G269" s="8">
        <v>495.6</v>
      </c>
      <c r="H269" s="8">
        <v>560.70000000000005</v>
      </c>
      <c r="I269" s="8">
        <v>569.1</v>
      </c>
      <c r="J269" s="8">
        <v>554.82000000000005</v>
      </c>
      <c r="K269" s="8">
        <v>526.67999999999995</v>
      </c>
      <c r="L269" s="8">
        <v>513.24</v>
      </c>
      <c r="M269" s="8">
        <v>514.5</v>
      </c>
      <c r="N269" s="8">
        <v>504.42</v>
      </c>
      <c r="O269" s="8">
        <v>498.96</v>
      </c>
      <c r="P269" s="8">
        <v>513.66</v>
      </c>
      <c r="Q269" s="8">
        <v>499.38</v>
      </c>
      <c r="R269" s="8">
        <v>524.58000000000004</v>
      </c>
      <c r="S269" s="8">
        <v>560.28</v>
      </c>
      <c r="T269" s="8">
        <v>611.52</v>
      </c>
      <c r="U269" s="8">
        <v>649.74</v>
      </c>
      <c r="V269" s="8">
        <v>657.72</v>
      </c>
      <c r="W269" s="8">
        <v>630.41999999999996</v>
      </c>
      <c r="X269" s="8">
        <v>585.05999999999995</v>
      </c>
      <c r="Y269" s="8">
        <v>508.2</v>
      </c>
      <c r="Z269" s="8">
        <v>464.94</v>
      </c>
    </row>
    <row r="270" spans="1:26" x14ac:dyDescent="0.25">
      <c r="A270" s="4">
        <v>41537</v>
      </c>
      <c r="B270" s="5">
        <f>SUM('2013 - 8760 Load'!_Day629)</f>
        <v>12698.7</v>
      </c>
      <c r="C270" s="8">
        <v>441.42</v>
      </c>
      <c r="D270" s="8">
        <v>430.5</v>
      </c>
      <c r="E270" s="8">
        <v>430.5</v>
      </c>
      <c r="F270" s="8">
        <v>433.02</v>
      </c>
      <c r="G270" s="8">
        <v>478.8</v>
      </c>
      <c r="H270" s="8">
        <v>539.70000000000005</v>
      </c>
      <c r="I270" s="8">
        <v>523.32000000000005</v>
      </c>
      <c r="J270" s="8">
        <v>501.48</v>
      </c>
      <c r="K270" s="8">
        <v>522.9</v>
      </c>
      <c r="L270" s="8">
        <v>512.4</v>
      </c>
      <c r="M270" s="8">
        <v>518.70000000000005</v>
      </c>
      <c r="N270" s="8">
        <v>521.22</v>
      </c>
      <c r="O270" s="8">
        <v>531.29999999999995</v>
      </c>
      <c r="P270" s="8">
        <v>504.84</v>
      </c>
      <c r="Q270" s="8">
        <v>512.82000000000005</v>
      </c>
      <c r="R270" s="8">
        <v>528.78</v>
      </c>
      <c r="S270" s="8">
        <v>576.24</v>
      </c>
      <c r="T270" s="8">
        <v>594.72</v>
      </c>
      <c r="U270" s="8">
        <v>669.06</v>
      </c>
      <c r="V270" s="8">
        <v>648.05999999999995</v>
      </c>
      <c r="W270" s="8">
        <v>651.84</v>
      </c>
      <c r="X270" s="8">
        <v>603.12</v>
      </c>
      <c r="Y270" s="8">
        <v>539.28</v>
      </c>
      <c r="Z270" s="8">
        <v>484.68</v>
      </c>
    </row>
    <row r="271" spans="1:26" x14ac:dyDescent="0.25">
      <c r="A271" s="4">
        <v>41538</v>
      </c>
      <c r="B271" s="5">
        <f>SUM('2013 - 8760 Load'!_Day630)</f>
        <v>13760.46</v>
      </c>
      <c r="C271" s="8">
        <v>474.6</v>
      </c>
      <c r="D271" s="8">
        <v>453.6</v>
      </c>
      <c r="E271" s="8">
        <v>449.4</v>
      </c>
      <c r="F271" s="8">
        <v>445.62</v>
      </c>
      <c r="G271" s="8">
        <v>465.78</v>
      </c>
      <c r="H271" s="8">
        <v>475.44</v>
      </c>
      <c r="I271" s="8">
        <v>514.5</v>
      </c>
      <c r="J271" s="8">
        <v>583.79999999999995</v>
      </c>
      <c r="K271" s="8">
        <v>611.94000000000005</v>
      </c>
      <c r="L271" s="8">
        <v>621.17999999999995</v>
      </c>
      <c r="M271" s="8">
        <v>598.08000000000004</v>
      </c>
      <c r="N271" s="8">
        <v>610.67999999999995</v>
      </c>
      <c r="O271" s="8">
        <v>642.6</v>
      </c>
      <c r="P271" s="8">
        <v>605.64</v>
      </c>
      <c r="Q271" s="8">
        <v>608.58000000000004</v>
      </c>
      <c r="R271" s="8">
        <v>622.02</v>
      </c>
      <c r="S271" s="8">
        <v>603.12</v>
      </c>
      <c r="T271" s="8">
        <v>646.79999999999995</v>
      </c>
      <c r="U271" s="8">
        <v>700.98</v>
      </c>
      <c r="V271" s="8">
        <v>678.3</v>
      </c>
      <c r="W271" s="8">
        <v>664.44</v>
      </c>
      <c r="X271" s="8">
        <v>604.79999999999995</v>
      </c>
      <c r="Y271" s="8">
        <v>566.16</v>
      </c>
      <c r="Z271" s="8">
        <v>512.4</v>
      </c>
    </row>
    <row r="272" spans="1:26" x14ac:dyDescent="0.25">
      <c r="A272" s="4">
        <v>41539</v>
      </c>
      <c r="B272" s="5">
        <f>SUM('2013 - 8760 Load'!_Day631)</f>
        <v>14230.02</v>
      </c>
      <c r="C272" s="8">
        <v>480.9</v>
      </c>
      <c r="D272" s="8">
        <v>462.84</v>
      </c>
      <c r="E272" s="8">
        <v>448.56</v>
      </c>
      <c r="F272" s="8">
        <v>450.24</v>
      </c>
      <c r="G272" s="8">
        <v>458.22</v>
      </c>
      <c r="H272" s="8">
        <v>472.08</v>
      </c>
      <c r="I272" s="8">
        <v>516.17999999999995</v>
      </c>
      <c r="J272" s="8">
        <v>571.62</v>
      </c>
      <c r="K272" s="8">
        <v>616.55999999999995</v>
      </c>
      <c r="L272" s="8">
        <v>646.38</v>
      </c>
      <c r="M272" s="8">
        <v>664.02</v>
      </c>
      <c r="N272" s="8">
        <v>642.17999999999995</v>
      </c>
      <c r="O272" s="8">
        <v>648.9</v>
      </c>
      <c r="P272" s="8">
        <v>643.86</v>
      </c>
      <c r="Q272" s="8">
        <v>643.86</v>
      </c>
      <c r="R272" s="8">
        <v>685.86</v>
      </c>
      <c r="S272" s="8">
        <v>708.54</v>
      </c>
      <c r="T272" s="8">
        <v>721.14</v>
      </c>
      <c r="U272" s="8">
        <v>740.04</v>
      </c>
      <c r="V272" s="8">
        <v>724.08</v>
      </c>
      <c r="W272" s="8">
        <v>658.98</v>
      </c>
      <c r="X272" s="8">
        <v>592.20000000000005</v>
      </c>
      <c r="Y272" s="8">
        <v>535.08000000000004</v>
      </c>
      <c r="Z272" s="8">
        <v>497.7</v>
      </c>
    </row>
    <row r="273" spans="1:26" x14ac:dyDescent="0.25">
      <c r="A273" s="4">
        <v>41540</v>
      </c>
      <c r="B273" s="5">
        <f>SUM('2013 - 8760 Load'!_Day632)</f>
        <v>13371.960000000001</v>
      </c>
      <c r="C273" s="8">
        <v>475.86</v>
      </c>
      <c r="D273" s="8">
        <v>467.04</v>
      </c>
      <c r="E273" s="8">
        <v>462</v>
      </c>
      <c r="F273" s="8">
        <v>474.18</v>
      </c>
      <c r="G273" s="8">
        <v>507.36</v>
      </c>
      <c r="H273" s="8">
        <v>594.72</v>
      </c>
      <c r="I273" s="8">
        <v>605.22</v>
      </c>
      <c r="J273" s="8">
        <v>602.28</v>
      </c>
      <c r="K273" s="8">
        <v>576.24</v>
      </c>
      <c r="L273" s="8">
        <v>549.78</v>
      </c>
      <c r="M273" s="8">
        <v>545.58000000000004</v>
      </c>
      <c r="N273" s="8">
        <v>547.67999999999995</v>
      </c>
      <c r="O273" s="8">
        <v>521.64</v>
      </c>
      <c r="P273" s="8">
        <v>523.74</v>
      </c>
      <c r="Q273" s="8">
        <v>515.76</v>
      </c>
      <c r="R273" s="8">
        <v>541.38</v>
      </c>
      <c r="S273" s="8">
        <v>582.96</v>
      </c>
      <c r="T273" s="8">
        <v>623.70000000000005</v>
      </c>
      <c r="U273" s="8">
        <v>714</v>
      </c>
      <c r="V273" s="8">
        <v>696.36</v>
      </c>
      <c r="W273" s="8">
        <v>645.12</v>
      </c>
      <c r="X273" s="8">
        <v>590.52</v>
      </c>
      <c r="Y273" s="8">
        <v>531.72</v>
      </c>
      <c r="Z273" s="8">
        <v>477.12</v>
      </c>
    </row>
    <row r="274" spans="1:26" x14ac:dyDescent="0.25">
      <c r="A274" s="4">
        <v>41541</v>
      </c>
      <c r="B274" s="5">
        <f>SUM('2013 - 8760 Load'!_Day633)</f>
        <v>13176.24</v>
      </c>
      <c r="C274" s="8">
        <v>469.98</v>
      </c>
      <c r="D274" s="8">
        <v>464.1</v>
      </c>
      <c r="E274" s="8">
        <v>459.9</v>
      </c>
      <c r="F274" s="8">
        <v>473.34</v>
      </c>
      <c r="G274" s="8">
        <v>507.36</v>
      </c>
      <c r="H274" s="8">
        <v>586.32000000000005</v>
      </c>
      <c r="I274" s="8">
        <v>606.9</v>
      </c>
      <c r="J274" s="8">
        <v>585.05999999999995</v>
      </c>
      <c r="K274" s="8">
        <v>557.34</v>
      </c>
      <c r="L274" s="8">
        <v>548.1</v>
      </c>
      <c r="M274" s="8">
        <v>546.84</v>
      </c>
      <c r="N274" s="8">
        <v>538.86</v>
      </c>
      <c r="O274" s="8">
        <v>524.16</v>
      </c>
      <c r="P274" s="8">
        <v>509.88</v>
      </c>
      <c r="Q274" s="8">
        <v>517.02</v>
      </c>
      <c r="R274" s="8">
        <v>535.91999999999996</v>
      </c>
      <c r="S274" s="8">
        <v>571.62</v>
      </c>
      <c r="T274" s="8">
        <v>595.55999999999995</v>
      </c>
      <c r="U274" s="8">
        <v>684.6</v>
      </c>
      <c r="V274" s="8">
        <v>669.9</v>
      </c>
      <c r="W274" s="8">
        <v>630.41999999999996</v>
      </c>
      <c r="X274" s="8">
        <v>593.46</v>
      </c>
      <c r="Y274" s="8">
        <v>525.84</v>
      </c>
      <c r="Z274" s="8">
        <v>473.76</v>
      </c>
    </row>
    <row r="275" spans="1:26" x14ac:dyDescent="0.25">
      <c r="A275" s="4">
        <v>41542</v>
      </c>
      <c r="B275" s="5">
        <f>SUM('2013 - 8760 Load'!_Day634)</f>
        <v>12859.979999999998</v>
      </c>
      <c r="C275" s="8">
        <v>461.16</v>
      </c>
      <c r="D275" s="8">
        <v>446.88</v>
      </c>
      <c r="E275" s="8">
        <v>446.04</v>
      </c>
      <c r="F275" s="8">
        <v>456.12</v>
      </c>
      <c r="G275" s="8">
        <v>510.72</v>
      </c>
      <c r="H275" s="8">
        <v>571.62</v>
      </c>
      <c r="I275" s="8">
        <v>582.12</v>
      </c>
      <c r="J275" s="8">
        <v>555.24</v>
      </c>
      <c r="K275" s="8">
        <v>551.88</v>
      </c>
      <c r="L275" s="8">
        <v>532.14</v>
      </c>
      <c r="M275" s="8">
        <v>545.58000000000004</v>
      </c>
      <c r="N275" s="8">
        <v>527.52</v>
      </c>
      <c r="O275" s="8">
        <v>496.44</v>
      </c>
      <c r="P275" s="8">
        <v>507.78</v>
      </c>
      <c r="Q275" s="8">
        <v>507.78</v>
      </c>
      <c r="R275" s="8">
        <v>511.14</v>
      </c>
      <c r="S275" s="8">
        <v>552.72</v>
      </c>
      <c r="T275" s="8">
        <v>583.38</v>
      </c>
      <c r="U275" s="8">
        <v>659.82</v>
      </c>
      <c r="V275" s="8">
        <v>677.46</v>
      </c>
      <c r="W275" s="8">
        <v>623.28</v>
      </c>
      <c r="X275" s="8">
        <v>568.26</v>
      </c>
      <c r="Y275" s="8">
        <v>513.24</v>
      </c>
      <c r="Z275" s="8">
        <v>471.66</v>
      </c>
    </row>
    <row r="276" spans="1:26" x14ac:dyDescent="0.25">
      <c r="A276" s="4">
        <v>41543</v>
      </c>
      <c r="B276" s="5">
        <f>SUM('2013 - 8760 Load'!_Day635)</f>
        <v>12728.939999999997</v>
      </c>
      <c r="C276" s="8">
        <v>459.06</v>
      </c>
      <c r="D276" s="8">
        <v>446.04</v>
      </c>
      <c r="E276" s="8">
        <v>450.24</v>
      </c>
      <c r="F276" s="8">
        <v>455.7</v>
      </c>
      <c r="G276" s="8">
        <v>494.34</v>
      </c>
      <c r="H276" s="8">
        <v>559.86</v>
      </c>
      <c r="I276" s="8">
        <v>551.46</v>
      </c>
      <c r="J276" s="8">
        <v>540.12</v>
      </c>
      <c r="K276" s="8">
        <v>522.9</v>
      </c>
      <c r="L276" s="8">
        <v>524.16</v>
      </c>
      <c r="M276" s="8">
        <v>529.20000000000005</v>
      </c>
      <c r="N276" s="8">
        <v>535.5</v>
      </c>
      <c r="O276" s="8">
        <v>512.82000000000005</v>
      </c>
      <c r="P276" s="8">
        <v>513.24</v>
      </c>
      <c r="Q276" s="8">
        <v>523.74</v>
      </c>
      <c r="R276" s="8">
        <v>525</v>
      </c>
      <c r="S276" s="8">
        <v>556.5</v>
      </c>
      <c r="T276" s="8">
        <v>593.88</v>
      </c>
      <c r="U276" s="8">
        <v>656.88</v>
      </c>
      <c r="V276" s="8">
        <v>648.48</v>
      </c>
      <c r="W276" s="8">
        <v>591.78</v>
      </c>
      <c r="X276" s="8">
        <v>561.96</v>
      </c>
      <c r="Y276" s="8">
        <v>511.14</v>
      </c>
      <c r="Z276" s="8">
        <v>464.94</v>
      </c>
    </row>
    <row r="277" spans="1:26" x14ac:dyDescent="0.25">
      <c r="A277" s="4">
        <v>41544</v>
      </c>
      <c r="B277" s="5">
        <f>SUM('2013 - 8760 Load'!_Day636)</f>
        <v>12913.32</v>
      </c>
      <c r="C277" s="8">
        <v>441</v>
      </c>
      <c r="D277" s="8">
        <v>440.58</v>
      </c>
      <c r="E277" s="8">
        <v>433.44</v>
      </c>
      <c r="F277" s="8">
        <v>446.04</v>
      </c>
      <c r="G277" s="8">
        <v>487.2</v>
      </c>
      <c r="H277" s="8">
        <v>552.29999999999995</v>
      </c>
      <c r="I277" s="8">
        <v>569.94000000000005</v>
      </c>
      <c r="J277" s="8">
        <v>576.24</v>
      </c>
      <c r="K277" s="8">
        <v>517.86</v>
      </c>
      <c r="L277" s="8">
        <v>526.26</v>
      </c>
      <c r="M277" s="8">
        <v>527.52</v>
      </c>
      <c r="N277" s="8">
        <v>516.6</v>
      </c>
      <c r="O277" s="8">
        <v>498.12</v>
      </c>
      <c r="P277" s="8">
        <v>516.6</v>
      </c>
      <c r="Q277" s="8">
        <v>507.36</v>
      </c>
      <c r="R277" s="8">
        <v>529.20000000000005</v>
      </c>
      <c r="S277" s="8">
        <v>555.24</v>
      </c>
      <c r="T277" s="8">
        <v>616.98</v>
      </c>
      <c r="U277" s="8">
        <v>671.16</v>
      </c>
      <c r="V277" s="8">
        <v>653.94000000000005</v>
      </c>
      <c r="W277" s="8">
        <v>660.66</v>
      </c>
      <c r="X277" s="8">
        <v>617.4</v>
      </c>
      <c r="Y277" s="8">
        <v>546.84</v>
      </c>
      <c r="Z277" s="8">
        <v>504.84</v>
      </c>
    </row>
    <row r="278" spans="1:26" x14ac:dyDescent="0.25">
      <c r="A278" s="4">
        <v>41545</v>
      </c>
      <c r="B278" s="5">
        <f>SUM('2013 - 8760 Load'!_Day637)</f>
        <v>13673.940000000002</v>
      </c>
      <c r="C278" s="8">
        <v>488.04</v>
      </c>
      <c r="D278" s="8">
        <v>467.46</v>
      </c>
      <c r="E278" s="8">
        <v>466.62</v>
      </c>
      <c r="F278" s="8">
        <v>461.58</v>
      </c>
      <c r="G278" s="8">
        <v>470.4</v>
      </c>
      <c r="H278" s="8">
        <v>504.84</v>
      </c>
      <c r="I278" s="8">
        <v>572.04</v>
      </c>
      <c r="J278" s="8">
        <v>585.9</v>
      </c>
      <c r="K278" s="8">
        <v>583.79999999999995</v>
      </c>
      <c r="L278" s="8">
        <v>620.76</v>
      </c>
      <c r="M278" s="8">
        <v>589.26</v>
      </c>
      <c r="N278" s="8">
        <v>605.22</v>
      </c>
      <c r="O278" s="8">
        <v>564.9</v>
      </c>
      <c r="P278" s="8">
        <v>561.96</v>
      </c>
      <c r="Q278" s="8">
        <v>573.29999999999995</v>
      </c>
      <c r="R278" s="8">
        <v>598.5</v>
      </c>
      <c r="S278" s="8">
        <v>601.86</v>
      </c>
      <c r="T278" s="8">
        <v>642.6</v>
      </c>
      <c r="U278" s="8">
        <v>700.98</v>
      </c>
      <c r="V278" s="8">
        <v>693.84</v>
      </c>
      <c r="W278" s="8">
        <v>650.58000000000004</v>
      </c>
      <c r="X278" s="8">
        <v>605.22</v>
      </c>
      <c r="Y278" s="8">
        <v>558.17999999999995</v>
      </c>
      <c r="Z278" s="8">
        <v>506.1</v>
      </c>
    </row>
    <row r="279" spans="1:26" x14ac:dyDescent="0.25">
      <c r="A279" s="4">
        <v>41546</v>
      </c>
      <c r="B279" s="5">
        <f>SUM('2013 - 8760 Load'!_Day638)</f>
        <v>13596.66</v>
      </c>
      <c r="C279" s="8">
        <v>475.44</v>
      </c>
      <c r="D279" s="8">
        <v>462.84</v>
      </c>
      <c r="E279" s="8">
        <v>459.06</v>
      </c>
      <c r="F279" s="8">
        <v>459.9</v>
      </c>
      <c r="G279" s="8">
        <v>461.16</v>
      </c>
      <c r="H279" s="8">
        <v>488.88</v>
      </c>
      <c r="I279" s="8">
        <v>540.12</v>
      </c>
      <c r="J279" s="8">
        <v>606.05999999999995</v>
      </c>
      <c r="K279" s="8">
        <v>617.82000000000005</v>
      </c>
      <c r="L279" s="8">
        <v>630.84</v>
      </c>
      <c r="M279" s="8">
        <v>608.58000000000004</v>
      </c>
      <c r="N279" s="8">
        <v>623.28</v>
      </c>
      <c r="O279" s="8">
        <v>573.72</v>
      </c>
      <c r="P279" s="8">
        <v>583.79999999999995</v>
      </c>
      <c r="Q279" s="8">
        <v>598.08000000000004</v>
      </c>
      <c r="R279" s="8">
        <v>603.96</v>
      </c>
      <c r="S279" s="8">
        <v>621.6</v>
      </c>
      <c r="T279" s="8">
        <v>650.16</v>
      </c>
      <c r="U279" s="8">
        <v>703.08</v>
      </c>
      <c r="V279" s="8">
        <v>679.98</v>
      </c>
      <c r="W279" s="8">
        <v>631.67999999999995</v>
      </c>
      <c r="X279" s="8">
        <v>532.14</v>
      </c>
      <c r="Y279" s="8">
        <v>504.84</v>
      </c>
      <c r="Z279" s="8">
        <v>479.64</v>
      </c>
    </row>
    <row r="280" spans="1:26" x14ac:dyDescent="0.25">
      <c r="A280" s="4">
        <v>41547</v>
      </c>
      <c r="B280" s="5">
        <f>SUM('2013 - 8760 Load'!_Day639)</f>
        <v>12949.44</v>
      </c>
      <c r="C280" s="8">
        <v>459.06</v>
      </c>
      <c r="D280" s="8">
        <v>444.36</v>
      </c>
      <c r="E280" s="8">
        <v>440.16</v>
      </c>
      <c r="F280" s="8">
        <v>456.12</v>
      </c>
      <c r="G280" s="8">
        <v>493.92</v>
      </c>
      <c r="H280" s="8">
        <v>566.16</v>
      </c>
      <c r="I280" s="8">
        <v>560.70000000000005</v>
      </c>
      <c r="J280" s="8">
        <v>573.72</v>
      </c>
      <c r="K280" s="8">
        <v>535.08000000000004</v>
      </c>
      <c r="L280" s="8">
        <v>530.04</v>
      </c>
      <c r="M280" s="8">
        <v>532.98</v>
      </c>
      <c r="N280" s="8">
        <v>535.08000000000004</v>
      </c>
      <c r="O280" s="8">
        <v>524.16</v>
      </c>
      <c r="P280" s="8">
        <v>530.46</v>
      </c>
      <c r="Q280" s="8">
        <v>511.98</v>
      </c>
      <c r="R280" s="8">
        <v>539.70000000000005</v>
      </c>
      <c r="S280" s="8">
        <v>564.9</v>
      </c>
      <c r="T280" s="8">
        <v>630</v>
      </c>
      <c r="U280" s="8">
        <v>689.22</v>
      </c>
      <c r="V280" s="8">
        <v>670.32</v>
      </c>
      <c r="W280" s="8">
        <v>625.38</v>
      </c>
      <c r="X280" s="8">
        <v>568.26</v>
      </c>
      <c r="Y280" s="8">
        <v>512.82000000000005</v>
      </c>
      <c r="Z280" s="8">
        <v>454.86</v>
      </c>
    </row>
    <row r="281" spans="1:26" x14ac:dyDescent="0.25">
      <c r="A281" s="4">
        <v>41548</v>
      </c>
      <c r="B281" s="5">
        <f>SUM('2013 - 8760 Load'!_Day640)</f>
        <v>12363.960000000003</v>
      </c>
      <c r="C281" s="8">
        <v>439.74</v>
      </c>
      <c r="D281" s="8">
        <v>437.64</v>
      </c>
      <c r="E281" s="8">
        <v>425.88</v>
      </c>
      <c r="F281" s="8">
        <v>437.64</v>
      </c>
      <c r="G281" s="8">
        <v>482.58</v>
      </c>
      <c r="H281" s="8">
        <v>529.62</v>
      </c>
      <c r="I281" s="8">
        <v>524.58000000000004</v>
      </c>
      <c r="J281" s="8">
        <v>552.72</v>
      </c>
      <c r="K281" s="8">
        <v>518.70000000000005</v>
      </c>
      <c r="L281" s="8">
        <v>520.38</v>
      </c>
      <c r="M281" s="8">
        <v>503.58</v>
      </c>
      <c r="N281" s="8">
        <v>510.72</v>
      </c>
      <c r="O281" s="8">
        <v>498.96</v>
      </c>
      <c r="P281" s="8">
        <v>483.84</v>
      </c>
      <c r="Q281" s="8">
        <v>493.92</v>
      </c>
      <c r="R281" s="8">
        <v>499.8</v>
      </c>
      <c r="S281" s="8">
        <v>552.29999999999995</v>
      </c>
      <c r="T281" s="8">
        <v>589.67999999999995</v>
      </c>
      <c r="U281" s="8">
        <v>643.86</v>
      </c>
      <c r="V281" s="8">
        <v>623.70000000000005</v>
      </c>
      <c r="W281" s="8">
        <v>612.78</v>
      </c>
      <c r="X281" s="8">
        <v>546</v>
      </c>
      <c r="Y281" s="8">
        <v>486.36</v>
      </c>
      <c r="Z281" s="8">
        <v>448.98</v>
      </c>
    </row>
    <row r="282" spans="1:26" x14ac:dyDescent="0.25">
      <c r="A282" s="4">
        <v>41549</v>
      </c>
      <c r="B282" s="5">
        <f>SUM('2013 - 8760 Load'!_Day641)</f>
        <v>12328.680000000002</v>
      </c>
      <c r="C282" s="8">
        <v>424.2</v>
      </c>
      <c r="D282" s="8">
        <v>418.32</v>
      </c>
      <c r="E282" s="8">
        <v>416.22</v>
      </c>
      <c r="F282" s="8">
        <v>420</v>
      </c>
      <c r="G282" s="8">
        <v>465.36</v>
      </c>
      <c r="H282" s="8">
        <v>539.28</v>
      </c>
      <c r="I282" s="8">
        <v>531.29999999999995</v>
      </c>
      <c r="J282" s="8">
        <v>510.3</v>
      </c>
      <c r="K282" s="8">
        <v>514.91999999999996</v>
      </c>
      <c r="L282" s="8">
        <v>501.06</v>
      </c>
      <c r="M282" s="8">
        <v>488.46</v>
      </c>
      <c r="N282" s="8">
        <v>496.44</v>
      </c>
      <c r="O282" s="8">
        <v>509.04</v>
      </c>
      <c r="P282" s="8">
        <v>501.9</v>
      </c>
      <c r="Q282" s="8">
        <v>498.54</v>
      </c>
      <c r="R282" s="8">
        <v>516.17999999999995</v>
      </c>
      <c r="S282" s="8">
        <v>549.78</v>
      </c>
      <c r="T282" s="8">
        <v>590.52</v>
      </c>
      <c r="U282" s="8">
        <v>689.64</v>
      </c>
      <c r="V282" s="8">
        <v>654.78</v>
      </c>
      <c r="W282" s="8">
        <v>606.9</v>
      </c>
      <c r="X282" s="8">
        <v>544.32000000000005</v>
      </c>
      <c r="Y282" s="8">
        <v>496.44</v>
      </c>
      <c r="Z282" s="8">
        <v>444.78</v>
      </c>
    </row>
    <row r="283" spans="1:26" x14ac:dyDescent="0.25">
      <c r="A283" s="4">
        <v>41550</v>
      </c>
      <c r="B283" s="5">
        <f>SUM('2013 - 8760 Load'!_Day642)</f>
        <v>12321.960000000001</v>
      </c>
      <c r="C283" s="8">
        <v>421.68</v>
      </c>
      <c r="D283" s="8">
        <v>412.86</v>
      </c>
      <c r="E283" s="8">
        <v>409.08</v>
      </c>
      <c r="F283" s="8">
        <v>422.94</v>
      </c>
      <c r="G283" s="8">
        <v>468.3</v>
      </c>
      <c r="H283" s="8">
        <v>525.41999999999996</v>
      </c>
      <c r="I283" s="8">
        <v>518.70000000000005</v>
      </c>
      <c r="J283" s="8">
        <v>514.5</v>
      </c>
      <c r="K283" s="8">
        <v>520.38</v>
      </c>
      <c r="L283" s="8">
        <v>545.58000000000004</v>
      </c>
      <c r="M283" s="8">
        <v>515.76</v>
      </c>
      <c r="N283" s="8">
        <v>511.14</v>
      </c>
      <c r="O283" s="8">
        <v>507.78</v>
      </c>
      <c r="P283" s="8">
        <v>504.42</v>
      </c>
      <c r="Q283" s="8">
        <v>505.68</v>
      </c>
      <c r="R283" s="8">
        <v>522.48</v>
      </c>
      <c r="S283" s="8">
        <v>550.62</v>
      </c>
      <c r="T283" s="8">
        <v>607.74</v>
      </c>
      <c r="U283" s="8">
        <v>650.58000000000004</v>
      </c>
      <c r="V283" s="8">
        <v>636.72</v>
      </c>
      <c r="W283" s="8">
        <v>594.29999999999995</v>
      </c>
      <c r="X283" s="8">
        <v>530.04</v>
      </c>
      <c r="Y283" s="8">
        <v>484.26</v>
      </c>
      <c r="Z283" s="8">
        <v>441</v>
      </c>
    </row>
    <row r="284" spans="1:26" x14ac:dyDescent="0.25">
      <c r="A284" s="4">
        <v>41551</v>
      </c>
      <c r="B284" s="5">
        <f>SUM('2013 - 8760 Load'!_Day643)</f>
        <v>12378.66</v>
      </c>
      <c r="C284" s="8">
        <v>425.88</v>
      </c>
      <c r="D284" s="8">
        <v>418.74</v>
      </c>
      <c r="E284" s="8">
        <v>417.48</v>
      </c>
      <c r="F284" s="8">
        <v>427.56</v>
      </c>
      <c r="G284" s="8">
        <v>465.36</v>
      </c>
      <c r="H284" s="8">
        <v>532.98</v>
      </c>
      <c r="I284" s="8">
        <v>512.4</v>
      </c>
      <c r="J284" s="8">
        <v>500.22</v>
      </c>
      <c r="K284" s="8">
        <v>490.98</v>
      </c>
      <c r="L284" s="8">
        <v>503.16</v>
      </c>
      <c r="M284" s="8">
        <v>511.98</v>
      </c>
      <c r="N284" s="8">
        <v>494.76</v>
      </c>
      <c r="O284" s="8">
        <v>493.5</v>
      </c>
      <c r="P284" s="8">
        <v>501.06</v>
      </c>
      <c r="Q284" s="8">
        <v>531.29999999999995</v>
      </c>
      <c r="R284" s="8">
        <v>524.58000000000004</v>
      </c>
      <c r="S284" s="8">
        <v>564.9</v>
      </c>
      <c r="T284" s="8">
        <v>583.38</v>
      </c>
      <c r="U284" s="8">
        <v>658.98</v>
      </c>
      <c r="V284" s="8">
        <v>645.96</v>
      </c>
      <c r="W284" s="8">
        <v>617.4</v>
      </c>
      <c r="X284" s="8">
        <v>573.29999999999995</v>
      </c>
      <c r="Y284" s="8">
        <v>509.04</v>
      </c>
      <c r="Z284" s="8">
        <v>473.76</v>
      </c>
    </row>
    <row r="285" spans="1:26" x14ac:dyDescent="0.25">
      <c r="A285" s="4">
        <v>41552</v>
      </c>
      <c r="B285" s="5">
        <f>SUM('2013 - 8760 Load'!_Day644)</f>
        <v>13209.42</v>
      </c>
      <c r="C285" s="8">
        <v>434.7</v>
      </c>
      <c r="D285" s="8">
        <v>426.3</v>
      </c>
      <c r="E285" s="8">
        <v>420.84</v>
      </c>
      <c r="F285" s="8">
        <v>421.26</v>
      </c>
      <c r="G285" s="8">
        <v>427.98</v>
      </c>
      <c r="H285" s="8">
        <v>452.76</v>
      </c>
      <c r="I285" s="8">
        <v>490.56</v>
      </c>
      <c r="J285" s="8">
        <v>526.67999999999995</v>
      </c>
      <c r="K285" s="8">
        <v>577.5</v>
      </c>
      <c r="L285" s="8">
        <v>564.48</v>
      </c>
      <c r="M285" s="8">
        <v>601.86</v>
      </c>
      <c r="N285" s="8">
        <v>578.76</v>
      </c>
      <c r="O285" s="8">
        <v>567</v>
      </c>
      <c r="P285" s="8">
        <v>558.17999999999995</v>
      </c>
      <c r="Q285" s="8">
        <v>576.66</v>
      </c>
      <c r="R285" s="8">
        <v>601.02</v>
      </c>
      <c r="S285" s="8">
        <v>620.34</v>
      </c>
      <c r="T285" s="8">
        <v>679.14</v>
      </c>
      <c r="U285" s="8">
        <v>702.24</v>
      </c>
      <c r="V285" s="8">
        <v>685.02</v>
      </c>
      <c r="W285" s="8">
        <v>641.34</v>
      </c>
      <c r="X285" s="8">
        <v>602.28</v>
      </c>
      <c r="Y285" s="8">
        <v>554.4</v>
      </c>
      <c r="Z285" s="8">
        <v>498.12</v>
      </c>
    </row>
    <row r="286" spans="1:26" x14ac:dyDescent="0.25">
      <c r="A286" s="4">
        <v>41553</v>
      </c>
      <c r="B286" s="5">
        <f>SUM('2013 - 8760 Load'!_Day645)</f>
        <v>13512.659999999996</v>
      </c>
      <c r="C286" s="8">
        <v>457.38</v>
      </c>
      <c r="D286" s="8">
        <v>438.9</v>
      </c>
      <c r="E286" s="8">
        <v>431.76</v>
      </c>
      <c r="F286" s="8">
        <v>420.84</v>
      </c>
      <c r="G286" s="8">
        <v>424.2</v>
      </c>
      <c r="H286" s="8">
        <v>439.74</v>
      </c>
      <c r="I286" s="8">
        <v>461.16</v>
      </c>
      <c r="J286" s="8">
        <v>525.41999999999996</v>
      </c>
      <c r="K286" s="8">
        <v>599.34</v>
      </c>
      <c r="L286" s="8">
        <v>647.64</v>
      </c>
      <c r="M286" s="8">
        <v>664.02</v>
      </c>
      <c r="N286" s="8">
        <v>660.24</v>
      </c>
      <c r="O286" s="8">
        <v>648.48</v>
      </c>
      <c r="P286" s="8">
        <v>647.22</v>
      </c>
      <c r="Q286" s="8">
        <v>656.88</v>
      </c>
      <c r="R286" s="8">
        <v>671.16</v>
      </c>
      <c r="S286" s="8">
        <v>679.98</v>
      </c>
      <c r="T286" s="8">
        <v>669.06</v>
      </c>
      <c r="U286" s="8">
        <v>669.48</v>
      </c>
      <c r="V286" s="8">
        <v>636.72</v>
      </c>
      <c r="W286" s="8">
        <v>605.22</v>
      </c>
      <c r="X286" s="8">
        <v>536.76</v>
      </c>
      <c r="Y286" s="8">
        <v>472.92</v>
      </c>
      <c r="Z286" s="8">
        <v>448.14</v>
      </c>
    </row>
    <row r="287" spans="1:26" x14ac:dyDescent="0.25">
      <c r="A287" s="4">
        <v>41554</v>
      </c>
      <c r="B287" s="5">
        <f>SUM('2013 - 8760 Load'!_Day646)</f>
        <v>12155.64</v>
      </c>
      <c r="C287" s="8">
        <v>420.42</v>
      </c>
      <c r="D287" s="8">
        <v>409.92</v>
      </c>
      <c r="E287" s="8">
        <v>400.26</v>
      </c>
      <c r="F287" s="8">
        <v>405.72</v>
      </c>
      <c r="G287" s="8">
        <v>441</v>
      </c>
      <c r="H287" s="8">
        <v>508.2</v>
      </c>
      <c r="I287" s="8">
        <v>501.06</v>
      </c>
      <c r="J287" s="8">
        <v>501.48</v>
      </c>
      <c r="K287" s="8">
        <v>494.76</v>
      </c>
      <c r="L287" s="8">
        <v>494.76</v>
      </c>
      <c r="M287" s="8">
        <v>509.88</v>
      </c>
      <c r="N287" s="8">
        <v>509.88</v>
      </c>
      <c r="O287" s="8">
        <v>510.72</v>
      </c>
      <c r="P287" s="8">
        <v>526.26</v>
      </c>
      <c r="Q287" s="8">
        <v>526.67999999999995</v>
      </c>
      <c r="R287" s="8">
        <v>551.46</v>
      </c>
      <c r="S287" s="8">
        <v>590.94000000000005</v>
      </c>
      <c r="T287" s="8">
        <v>562.38</v>
      </c>
      <c r="U287" s="8">
        <v>639.24</v>
      </c>
      <c r="V287" s="8">
        <v>624.96</v>
      </c>
      <c r="W287" s="8">
        <v>580.02</v>
      </c>
      <c r="X287" s="8">
        <v>531.72</v>
      </c>
      <c r="Y287" s="8">
        <v>468.3</v>
      </c>
      <c r="Z287" s="8">
        <v>445.62</v>
      </c>
    </row>
    <row r="288" spans="1:26" x14ac:dyDescent="0.25">
      <c r="A288" s="4">
        <v>41555</v>
      </c>
      <c r="B288" s="5">
        <f>SUM('2013 - 8760 Load'!_Day647)</f>
        <v>12024.600000000002</v>
      </c>
      <c r="C288" s="8">
        <v>416.22</v>
      </c>
      <c r="D288" s="8">
        <v>407.4</v>
      </c>
      <c r="E288" s="8">
        <v>406.56</v>
      </c>
      <c r="F288" s="8">
        <v>411.18</v>
      </c>
      <c r="G288" s="8">
        <v>478.8</v>
      </c>
      <c r="H288" s="8">
        <v>534.24</v>
      </c>
      <c r="I288" s="8">
        <v>526.26</v>
      </c>
      <c r="J288" s="8">
        <v>525.41999999999996</v>
      </c>
      <c r="K288" s="8">
        <v>490.98</v>
      </c>
      <c r="L288" s="8">
        <v>480.06</v>
      </c>
      <c r="M288" s="8">
        <v>486.36</v>
      </c>
      <c r="N288" s="8">
        <v>472.92</v>
      </c>
      <c r="O288" s="8">
        <v>440.58</v>
      </c>
      <c r="P288" s="8">
        <v>434.7</v>
      </c>
      <c r="Q288" s="8">
        <v>451.92</v>
      </c>
      <c r="R288" s="8">
        <v>490.98</v>
      </c>
      <c r="S288" s="8">
        <v>519.12</v>
      </c>
      <c r="T288" s="8">
        <v>602.70000000000005</v>
      </c>
      <c r="U288" s="8">
        <v>681.24</v>
      </c>
      <c r="V288" s="8">
        <v>642.6</v>
      </c>
      <c r="W288" s="8">
        <v>605.22</v>
      </c>
      <c r="X288" s="8">
        <v>558.6</v>
      </c>
      <c r="Y288" s="8">
        <v>496.86</v>
      </c>
      <c r="Z288" s="8">
        <v>463.68</v>
      </c>
    </row>
    <row r="289" spans="1:26" x14ac:dyDescent="0.25">
      <c r="A289" s="4">
        <v>41556</v>
      </c>
      <c r="B289" s="5">
        <f>SUM('2013 - 8760 Load'!_Day648)</f>
        <v>12511.800000000001</v>
      </c>
      <c r="C289" s="8">
        <v>447.72</v>
      </c>
      <c r="D289" s="8">
        <v>428.82</v>
      </c>
      <c r="E289" s="8">
        <v>425.88</v>
      </c>
      <c r="F289" s="8">
        <v>435.54</v>
      </c>
      <c r="G289" s="8">
        <v>480.06</v>
      </c>
      <c r="H289" s="8">
        <v>553.55999999999995</v>
      </c>
      <c r="I289" s="8">
        <v>569.1</v>
      </c>
      <c r="J289" s="8">
        <v>540.96</v>
      </c>
      <c r="K289" s="8">
        <v>522.48</v>
      </c>
      <c r="L289" s="8">
        <v>504</v>
      </c>
      <c r="M289" s="8">
        <v>486.78</v>
      </c>
      <c r="N289" s="8">
        <v>483.42</v>
      </c>
      <c r="O289" s="8">
        <v>479.64</v>
      </c>
      <c r="P289" s="8">
        <v>464.1</v>
      </c>
      <c r="Q289" s="8">
        <v>452.76</v>
      </c>
      <c r="R289" s="8">
        <v>501.48</v>
      </c>
      <c r="S289" s="8">
        <v>544.32000000000005</v>
      </c>
      <c r="T289" s="8">
        <v>645.12</v>
      </c>
      <c r="U289" s="8">
        <v>698.46</v>
      </c>
      <c r="V289" s="8">
        <v>677.88</v>
      </c>
      <c r="W289" s="8">
        <v>622.86</v>
      </c>
      <c r="X289" s="8">
        <v>570.78</v>
      </c>
      <c r="Y289" s="8">
        <v>511.14</v>
      </c>
      <c r="Z289" s="8">
        <v>464.94</v>
      </c>
    </row>
    <row r="290" spans="1:26" x14ac:dyDescent="0.25">
      <c r="A290" s="4">
        <v>41557</v>
      </c>
      <c r="B290" s="5">
        <f>SUM('2013 - 8760 Load'!_Day649)</f>
        <v>13315.26</v>
      </c>
      <c r="C290" s="8">
        <v>444.36</v>
      </c>
      <c r="D290" s="8">
        <v>429.66</v>
      </c>
      <c r="E290" s="8">
        <v>435.54</v>
      </c>
      <c r="F290" s="8">
        <v>440.58</v>
      </c>
      <c r="G290" s="8">
        <v>486.36</v>
      </c>
      <c r="H290" s="8">
        <v>554.4</v>
      </c>
      <c r="I290" s="8">
        <v>580.44000000000005</v>
      </c>
      <c r="J290" s="8">
        <v>548.94000000000005</v>
      </c>
      <c r="K290" s="8">
        <v>542.64</v>
      </c>
      <c r="L290" s="8">
        <v>546.41999999999996</v>
      </c>
      <c r="M290" s="8">
        <v>530.46</v>
      </c>
      <c r="N290" s="8">
        <v>539.70000000000005</v>
      </c>
      <c r="O290" s="8">
        <v>527.94000000000005</v>
      </c>
      <c r="P290" s="8">
        <v>561.12</v>
      </c>
      <c r="Q290" s="8">
        <v>559.86</v>
      </c>
      <c r="R290" s="8">
        <v>553.98</v>
      </c>
      <c r="S290" s="8">
        <v>641.76</v>
      </c>
      <c r="T290" s="8">
        <v>697.2</v>
      </c>
      <c r="U290" s="8">
        <v>723.24</v>
      </c>
      <c r="V290" s="8">
        <v>713.58</v>
      </c>
      <c r="W290" s="8">
        <v>675.36</v>
      </c>
      <c r="X290" s="8">
        <v>585.9</v>
      </c>
      <c r="Y290" s="8">
        <v>535.91999999999996</v>
      </c>
      <c r="Z290" s="8">
        <v>459.9</v>
      </c>
    </row>
    <row r="291" spans="1:26" x14ac:dyDescent="0.25">
      <c r="A291" s="4">
        <v>41558</v>
      </c>
      <c r="B291" s="5">
        <f>SUM('2013 - 8760 Load'!_Day650)</f>
        <v>12577.740000000003</v>
      </c>
      <c r="C291" s="8">
        <v>443.52</v>
      </c>
      <c r="D291" s="8">
        <v>437.64</v>
      </c>
      <c r="E291" s="8">
        <v>425.04</v>
      </c>
      <c r="F291" s="8">
        <v>430.92</v>
      </c>
      <c r="G291" s="8">
        <v>463.68</v>
      </c>
      <c r="H291" s="8">
        <v>520.38</v>
      </c>
      <c r="I291" s="8">
        <v>536.76</v>
      </c>
      <c r="J291" s="8">
        <v>535.91999999999996</v>
      </c>
      <c r="K291" s="8">
        <v>540.54</v>
      </c>
      <c r="L291" s="8">
        <v>534.66</v>
      </c>
      <c r="M291" s="8">
        <v>528.36</v>
      </c>
      <c r="N291" s="8">
        <v>517.02</v>
      </c>
      <c r="O291" s="8">
        <v>506.52</v>
      </c>
      <c r="P291" s="8">
        <v>487.2</v>
      </c>
      <c r="Q291" s="8">
        <v>495.6</v>
      </c>
      <c r="R291" s="8">
        <v>504.84</v>
      </c>
      <c r="S291" s="8">
        <v>530.88</v>
      </c>
      <c r="T291" s="8">
        <v>598.08000000000004</v>
      </c>
      <c r="U291" s="8">
        <v>644.28</v>
      </c>
      <c r="V291" s="8">
        <v>641.76</v>
      </c>
      <c r="W291" s="8">
        <v>632.94000000000005</v>
      </c>
      <c r="X291" s="8">
        <v>590.52</v>
      </c>
      <c r="Y291" s="8">
        <v>544.32000000000005</v>
      </c>
      <c r="Z291" s="8">
        <v>486.36</v>
      </c>
    </row>
    <row r="292" spans="1:26" x14ac:dyDescent="0.25">
      <c r="A292" s="4">
        <v>41559</v>
      </c>
      <c r="B292" s="5">
        <f>SUM('2013 - 8760 Load'!_Day651)</f>
        <v>13454.280000000002</v>
      </c>
      <c r="C292" s="8">
        <v>462</v>
      </c>
      <c r="D292" s="8">
        <v>449.4</v>
      </c>
      <c r="E292" s="8">
        <v>434.7</v>
      </c>
      <c r="F292" s="8">
        <v>440.58</v>
      </c>
      <c r="G292" s="8">
        <v>447.3</v>
      </c>
      <c r="H292" s="8">
        <v>482.16</v>
      </c>
      <c r="I292" s="8">
        <v>521.64</v>
      </c>
      <c r="J292" s="8">
        <v>553.98</v>
      </c>
      <c r="K292" s="8">
        <v>574.14</v>
      </c>
      <c r="L292" s="8">
        <v>577.91999999999996</v>
      </c>
      <c r="M292" s="8">
        <v>587.16</v>
      </c>
      <c r="N292" s="8">
        <v>555.24</v>
      </c>
      <c r="O292" s="8">
        <v>546</v>
      </c>
      <c r="P292" s="8">
        <v>518.70000000000005</v>
      </c>
      <c r="Q292" s="8">
        <v>537.17999999999995</v>
      </c>
      <c r="R292" s="8">
        <v>581.70000000000005</v>
      </c>
      <c r="S292" s="8">
        <v>645.54</v>
      </c>
      <c r="T292" s="8">
        <v>717.36</v>
      </c>
      <c r="U292" s="8">
        <v>738.78</v>
      </c>
      <c r="V292" s="8">
        <v>716.52</v>
      </c>
      <c r="W292" s="8">
        <v>668.64</v>
      </c>
      <c r="X292" s="8">
        <v>633.78</v>
      </c>
      <c r="Y292" s="8">
        <v>548.52</v>
      </c>
      <c r="Z292" s="8">
        <v>515.34</v>
      </c>
    </row>
    <row r="293" spans="1:26" x14ac:dyDescent="0.25">
      <c r="A293" s="4">
        <v>41560</v>
      </c>
      <c r="B293" s="5">
        <f>SUM('2013 - 8760 Load'!_Day652)</f>
        <v>14080.079999999996</v>
      </c>
      <c r="C293" s="8">
        <v>478.38</v>
      </c>
      <c r="D293" s="8">
        <v>458.64</v>
      </c>
      <c r="E293" s="8">
        <v>455.28</v>
      </c>
      <c r="F293" s="8">
        <v>448.98</v>
      </c>
      <c r="G293" s="8">
        <v>457.38</v>
      </c>
      <c r="H293" s="8">
        <v>495.6</v>
      </c>
      <c r="I293" s="8">
        <v>543.05999999999995</v>
      </c>
      <c r="J293" s="8">
        <v>613.62</v>
      </c>
      <c r="K293" s="8">
        <v>638.4</v>
      </c>
      <c r="L293" s="8">
        <v>659.82</v>
      </c>
      <c r="M293" s="8">
        <v>646.38</v>
      </c>
      <c r="N293" s="8">
        <v>645.54</v>
      </c>
      <c r="O293" s="8">
        <v>631.26</v>
      </c>
      <c r="P293" s="8">
        <v>590.52</v>
      </c>
      <c r="Q293" s="8">
        <v>593.88</v>
      </c>
      <c r="R293" s="8">
        <v>595.14</v>
      </c>
      <c r="S293" s="8">
        <v>632.52</v>
      </c>
      <c r="T293" s="8">
        <v>700.56</v>
      </c>
      <c r="U293" s="8">
        <v>739.2</v>
      </c>
      <c r="V293" s="8">
        <v>729.54</v>
      </c>
      <c r="W293" s="8">
        <v>658.56</v>
      </c>
      <c r="X293" s="8">
        <v>621.6</v>
      </c>
      <c r="Y293" s="8">
        <v>544.32000000000005</v>
      </c>
      <c r="Z293" s="8">
        <v>501.9</v>
      </c>
    </row>
    <row r="294" spans="1:26" x14ac:dyDescent="0.25">
      <c r="A294" s="4">
        <v>41561</v>
      </c>
      <c r="B294" s="5">
        <f>SUM('2013 - 8760 Load'!_Day653)</f>
        <v>13404.300000000001</v>
      </c>
      <c r="C294" s="8">
        <v>470.4</v>
      </c>
      <c r="D294" s="8">
        <v>447.3</v>
      </c>
      <c r="E294" s="8">
        <v>455.7</v>
      </c>
      <c r="F294" s="8">
        <v>451.5</v>
      </c>
      <c r="G294" s="8">
        <v>472.92</v>
      </c>
      <c r="H294" s="8">
        <v>498.54</v>
      </c>
      <c r="I294" s="8">
        <v>530.46</v>
      </c>
      <c r="J294" s="8">
        <v>622.02</v>
      </c>
      <c r="K294" s="8">
        <v>658.14</v>
      </c>
      <c r="L294" s="8">
        <v>646.79999999999995</v>
      </c>
      <c r="M294" s="8">
        <v>607.74</v>
      </c>
      <c r="N294" s="8">
        <v>573.29999999999995</v>
      </c>
      <c r="O294" s="8">
        <v>553.98</v>
      </c>
      <c r="P294" s="8">
        <v>535.08000000000004</v>
      </c>
      <c r="Q294" s="8">
        <v>556.91999999999996</v>
      </c>
      <c r="R294" s="8">
        <v>570.78</v>
      </c>
      <c r="S294" s="8">
        <v>583.79999999999995</v>
      </c>
      <c r="T294" s="8">
        <v>669.48</v>
      </c>
      <c r="U294" s="8">
        <v>718.2</v>
      </c>
      <c r="V294" s="8">
        <v>671.16</v>
      </c>
      <c r="W294" s="8">
        <v>621.17999999999995</v>
      </c>
      <c r="X294" s="8">
        <v>545.16</v>
      </c>
      <c r="Y294" s="8">
        <v>490.56</v>
      </c>
      <c r="Z294" s="8">
        <v>453.18</v>
      </c>
    </row>
    <row r="295" spans="1:26" x14ac:dyDescent="0.25">
      <c r="A295" s="4">
        <v>41562</v>
      </c>
      <c r="B295" s="5">
        <f>SUM('2013 - 8760 Load'!_Day654)</f>
        <v>11989.739999999998</v>
      </c>
      <c r="C295" s="8">
        <v>430.5</v>
      </c>
      <c r="D295" s="8">
        <v>414.54</v>
      </c>
      <c r="E295" s="8">
        <v>414.12</v>
      </c>
      <c r="F295" s="8">
        <v>421.26</v>
      </c>
      <c r="G295" s="8">
        <v>467.46</v>
      </c>
      <c r="H295" s="8">
        <v>538.44000000000005</v>
      </c>
      <c r="I295" s="8">
        <v>538.86</v>
      </c>
      <c r="J295" s="8">
        <v>509.46</v>
      </c>
      <c r="K295" s="8">
        <v>497.7</v>
      </c>
      <c r="L295" s="8">
        <v>484.68</v>
      </c>
      <c r="M295" s="8">
        <v>481.74</v>
      </c>
      <c r="N295" s="8">
        <v>480.48</v>
      </c>
      <c r="O295" s="8">
        <v>451.5</v>
      </c>
      <c r="P295" s="8">
        <v>439.74</v>
      </c>
      <c r="Q295" s="8">
        <v>464.94</v>
      </c>
      <c r="R295" s="8">
        <v>488.04</v>
      </c>
      <c r="S295" s="8">
        <v>577.91999999999996</v>
      </c>
      <c r="T295" s="8">
        <v>603.12</v>
      </c>
      <c r="U295" s="8">
        <v>635.88</v>
      </c>
      <c r="V295" s="8">
        <v>615.29999999999995</v>
      </c>
      <c r="W295" s="8">
        <v>582.54</v>
      </c>
      <c r="X295" s="8">
        <v>533.4</v>
      </c>
      <c r="Y295" s="8">
        <v>485.1</v>
      </c>
      <c r="Z295" s="8">
        <v>433.02</v>
      </c>
    </row>
    <row r="296" spans="1:26" x14ac:dyDescent="0.25">
      <c r="A296" s="4">
        <v>41563</v>
      </c>
      <c r="B296" s="5">
        <f>SUM('2013 - 8760 Load'!_Day655)</f>
        <v>12267.779999999999</v>
      </c>
      <c r="C296" s="8">
        <v>408.66</v>
      </c>
      <c r="D296" s="8">
        <v>394.38</v>
      </c>
      <c r="E296" s="8">
        <v>397.32</v>
      </c>
      <c r="F296" s="8">
        <v>407.4</v>
      </c>
      <c r="G296" s="8">
        <v>458.22</v>
      </c>
      <c r="H296" s="8">
        <v>519.54</v>
      </c>
      <c r="I296" s="8">
        <v>540.96</v>
      </c>
      <c r="J296" s="8">
        <v>528.36</v>
      </c>
      <c r="K296" s="8">
        <v>516.17999999999995</v>
      </c>
      <c r="L296" s="8">
        <v>504</v>
      </c>
      <c r="M296" s="8">
        <v>503.58</v>
      </c>
      <c r="N296" s="8">
        <v>509.88</v>
      </c>
      <c r="O296" s="8">
        <v>487.2</v>
      </c>
      <c r="P296" s="8">
        <v>471.66</v>
      </c>
      <c r="Q296" s="8">
        <v>490.98</v>
      </c>
      <c r="R296" s="8">
        <v>512.4</v>
      </c>
      <c r="S296" s="8">
        <v>574.98</v>
      </c>
      <c r="T296" s="8">
        <v>666.12</v>
      </c>
      <c r="U296" s="8">
        <v>691.32</v>
      </c>
      <c r="V296" s="8">
        <v>635.46</v>
      </c>
      <c r="W296" s="8">
        <v>592.20000000000005</v>
      </c>
      <c r="X296" s="8">
        <v>535.08000000000004</v>
      </c>
      <c r="Y296" s="8">
        <v>485.52</v>
      </c>
      <c r="Z296" s="8">
        <v>436.38</v>
      </c>
    </row>
    <row r="297" spans="1:26" x14ac:dyDescent="0.25">
      <c r="A297" s="4">
        <v>41564</v>
      </c>
      <c r="B297" s="5">
        <f>SUM('2013 - 8760 Load'!_Day656)</f>
        <v>11697.84</v>
      </c>
      <c r="C297" s="8">
        <v>403.2</v>
      </c>
      <c r="D297" s="8">
        <v>404.88</v>
      </c>
      <c r="E297" s="8">
        <v>397.74</v>
      </c>
      <c r="F297" s="8">
        <v>405.3</v>
      </c>
      <c r="G297" s="8">
        <v>457.38</v>
      </c>
      <c r="H297" s="8">
        <v>532.14</v>
      </c>
      <c r="I297" s="8">
        <v>530.46</v>
      </c>
      <c r="J297" s="8">
        <v>490.98</v>
      </c>
      <c r="K297" s="8">
        <v>484.68</v>
      </c>
      <c r="L297" s="8">
        <v>497.7</v>
      </c>
      <c r="M297" s="8">
        <v>471.24</v>
      </c>
      <c r="N297" s="8">
        <v>468.72</v>
      </c>
      <c r="O297" s="8">
        <v>453.18</v>
      </c>
      <c r="P297" s="8">
        <v>446.46</v>
      </c>
      <c r="Q297" s="8">
        <v>448.98</v>
      </c>
      <c r="R297" s="8">
        <v>471.24</v>
      </c>
      <c r="S297" s="8">
        <v>517.02</v>
      </c>
      <c r="T297" s="8">
        <v>599.76</v>
      </c>
      <c r="U297" s="8">
        <v>619.08000000000004</v>
      </c>
      <c r="V297" s="8">
        <v>619.08000000000004</v>
      </c>
      <c r="W297" s="8">
        <v>572.46</v>
      </c>
      <c r="X297" s="8">
        <v>516.17999999999995</v>
      </c>
      <c r="Y297" s="8">
        <v>469.98</v>
      </c>
      <c r="Z297" s="8">
        <v>420</v>
      </c>
    </row>
    <row r="298" spans="1:26" x14ac:dyDescent="0.25">
      <c r="A298" s="4">
        <v>41565</v>
      </c>
      <c r="B298" s="5">
        <f>SUM('2013 - 8760 Load'!_Day657)</f>
        <v>12056.099999999999</v>
      </c>
      <c r="C298" s="8">
        <v>389.76</v>
      </c>
      <c r="D298" s="8">
        <v>378.84</v>
      </c>
      <c r="E298" s="8">
        <v>376.74</v>
      </c>
      <c r="F298" s="8">
        <v>389.34</v>
      </c>
      <c r="G298" s="8">
        <v>433.02</v>
      </c>
      <c r="H298" s="8">
        <v>498.12</v>
      </c>
      <c r="I298" s="8">
        <v>498.12</v>
      </c>
      <c r="J298" s="8">
        <v>495.18</v>
      </c>
      <c r="K298" s="8">
        <v>493.08</v>
      </c>
      <c r="L298" s="8">
        <v>517.86</v>
      </c>
      <c r="M298" s="8">
        <v>510.72</v>
      </c>
      <c r="N298" s="8">
        <v>482.58</v>
      </c>
      <c r="O298" s="8">
        <v>472.08</v>
      </c>
      <c r="P298" s="8">
        <v>465.78</v>
      </c>
      <c r="Q298" s="8">
        <v>475.02</v>
      </c>
      <c r="R298" s="8">
        <v>498.96</v>
      </c>
      <c r="S298" s="8">
        <v>530.88</v>
      </c>
      <c r="T298" s="8">
        <v>634.20000000000005</v>
      </c>
      <c r="U298" s="8">
        <v>658.14</v>
      </c>
      <c r="V298" s="8">
        <v>638.82000000000005</v>
      </c>
      <c r="W298" s="8">
        <v>626.22</v>
      </c>
      <c r="X298" s="8">
        <v>595.14</v>
      </c>
      <c r="Y298" s="8">
        <v>520.38</v>
      </c>
      <c r="Z298" s="8">
        <v>477.12</v>
      </c>
    </row>
    <row r="299" spans="1:26" x14ac:dyDescent="0.25">
      <c r="A299" s="4">
        <v>41566</v>
      </c>
      <c r="B299" s="5">
        <f>SUM('2013 - 8760 Load'!_Day658)</f>
        <v>13611.359999999999</v>
      </c>
      <c r="C299" s="8">
        <v>452.76</v>
      </c>
      <c r="D299" s="8">
        <v>442.68</v>
      </c>
      <c r="E299" s="8">
        <v>430.08</v>
      </c>
      <c r="F299" s="8">
        <v>441.42</v>
      </c>
      <c r="G299" s="8">
        <v>462.42</v>
      </c>
      <c r="H299" s="8">
        <v>500.64</v>
      </c>
      <c r="I299" s="8">
        <v>562.79999999999995</v>
      </c>
      <c r="J299" s="8">
        <v>583.38</v>
      </c>
      <c r="K299" s="8">
        <v>599.76</v>
      </c>
      <c r="L299" s="8">
        <v>606.05999999999995</v>
      </c>
      <c r="M299" s="8">
        <v>606.05999999999995</v>
      </c>
      <c r="N299" s="8">
        <v>558.6</v>
      </c>
      <c r="O299" s="8">
        <v>547.67999999999995</v>
      </c>
      <c r="P299" s="8">
        <v>538.44000000000005</v>
      </c>
      <c r="Q299" s="8">
        <v>564.48</v>
      </c>
      <c r="R299" s="8">
        <v>616.55999999999995</v>
      </c>
      <c r="S299" s="8">
        <v>657.72</v>
      </c>
      <c r="T299" s="8">
        <v>722.4</v>
      </c>
      <c r="U299" s="8">
        <v>732.06</v>
      </c>
      <c r="V299" s="8">
        <v>679.14</v>
      </c>
      <c r="W299" s="8">
        <v>651.84</v>
      </c>
      <c r="X299" s="8">
        <v>608.16</v>
      </c>
      <c r="Y299" s="8">
        <v>538.02</v>
      </c>
      <c r="Z299" s="8">
        <v>508.2</v>
      </c>
    </row>
    <row r="300" spans="1:26" x14ac:dyDescent="0.25">
      <c r="A300" s="4">
        <v>41567</v>
      </c>
      <c r="B300" s="5">
        <f>SUM('2013 - 8760 Load'!_Day659)</f>
        <v>13852.02</v>
      </c>
      <c r="C300" s="8">
        <v>465.78</v>
      </c>
      <c r="D300" s="8">
        <v>456.12</v>
      </c>
      <c r="E300" s="8">
        <v>447.72</v>
      </c>
      <c r="F300" s="8">
        <v>451.5</v>
      </c>
      <c r="G300" s="8">
        <v>456.96</v>
      </c>
      <c r="H300" s="8">
        <v>502.74</v>
      </c>
      <c r="I300" s="8">
        <v>539.28</v>
      </c>
      <c r="J300" s="8">
        <v>616.14</v>
      </c>
      <c r="K300" s="8">
        <v>622.86</v>
      </c>
      <c r="L300" s="8">
        <v>645.96</v>
      </c>
      <c r="M300" s="8">
        <v>637.55999999999995</v>
      </c>
      <c r="N300" s="8">
        <v>631.26</v>
      </c>
      <c r="O300" s="8">
        <v>611.94000000000005</v>
      </c>
      <c r="P300" s="8">
        <v>611.94000000000005</v>
      </c>
      <c r="Q300" s="8">
        <v>564.9</v>
      </c>
      <c r="R300" s="8">
        <v>628.74</v>
      </c>
      <c r="S300" s="8">
        <v>646.79999999999995</v>
      </c>
      <c r="T300" s="8">
        <v>692.58</v>
      </c>
      <c r="U300" s="8">
        <v>715.26</v>
      </c>
      <c r="V300" s="8">
        <v>716.1</v>
      </c>
      <c r="W300" s="8">
        <v>625.79999999999995</v>
      </c>
      <c r="X300" s="8">
        <v>561.12</v>
      </c>
      <c r="Y300" s="8">
        <v>517.02</v>
      </c>
      <c r="Z300" s="8">
        <v>485.94</v>
      </c>
    </row>
    <row r="301" spans="1:26" x14ac:dyDescent="0.25">
      <c r="A301" s="4">
        <v>41568</v>
      </c>
      <c r="B301" s="5">
        <f>SUM('2013 - 8760 Load'!_Day660)</f>
        <v>12938.519999999997</v>
      </c>
      <c r="C301" s="8">
        <v>466.2</v>
      </c>
      <c r="D301" s="8">
        <v>464.52</v>
      </c>
      <c r="E301" s="8">
        <v>457.38</v>
      </c>
      <c r="F301" s="8">
        <v>467.88</v>
      </c>
      <c r="G301" s="8">
        <v>516.6</v>
      </c>
      <c r="H301" s="8">
        <v>574.55999999999995</v>
      </c>
      <c r="I301" s="8">
        <v>591.78</v>
      </c>
      <c r="J301" s="8">
        <v>578.76</v>
      </c>
      <c r="K301" s="8">
        <v>553.98</v>
      </c>
      <c r="L301" s="8">
        <v>543.9</v>
      </c>
      <c r="M301" s="8">
        <v>533.4</v>
      </c>
      <c r="N301" s="8">
        <v>497.28</v>
      </c>
      <c r="O301" s="8">
        <v>472.08</v>
      </c>
      <c r="P301" s="8">
        <v>467.88</v>
      </c>
      <c r="Q301" s="8">
        <v>473.34</v>
      </c>
      <c r="R301" s="8">
        <v>517.86</v>
      </c>
      <c r="S301" s="8">
        <v>584.22</v>
      </c>
      <c r="T301" s="8">
        <v>648.05999999999995</v>
      </c>
      <c r="U301" s="8">
        <v>682.92</v>
      </c>
      <c r="V301" s="8">
        <v>679.14</v>
      </c>
      <c r="W301" s="8">
        <v>606.9</v>
      </c>
      <c r="X301" s="8">
        <v>550.20000000000005</v>
      </c>
      <c r="Y301" s="8">
        <v>519.54</v>
      </c>
      <c r="Z301" s="8">
        <v>490.14</v>
      </c>
    </row>
    <row r="302" spans="1:26" x14ac:dyDescent="0.25">
      <c r="A302" s="4">
        <v>41569</v>
      </c>
      <c r="B302" s="5">
        <f>SUM('2013 - 8760 Load'!_Day661)</f>
        <v>13270.740000000003</v>
      </c>
      <c r="C302" s="8">
        <v>455.28</v>
      </c>
      <c r="D302" s="8">
        <v>439.32</v>
      </c>
      <c r="E302" s="8">
        <v>430.5</v>
      </c>
      <c r="F302" s="8">
        <v>454.86</v>
      </c>
      <c r="G302" s="8">
        <v>489.72</v>
      </c>
      <c r="H302" s="8">
        <v>571.62</v>
      </c>
      <c r="I302" s="8">
        <v>582.54</v>
      </c>
      <c r="J302" s="8">
        <v>564.9</v>
      </c>
      <c r="K302" s="8">
        <v>530.88</v>
      </c>
      <c r="L302" s="8">
        <v>532.98</v>
      </c>
      <c r="M302" s="8">
        <v>535.91999999999996</v>
      </c>
      <c r="N302" s="8">
        <v>534.24</v>
      </c>
      <c r="O302" s="8">
        <v>546.84</v>
      </c>
      <c r="P302" s="8">
        <v>541.79999999999995</v>
      </c>
      <c r="Q302" s="8">
        <v>516.6</v>
      </c>
      <c r="R302" s="8">
        <v>522.05999999999995</v>
      </c>
      <c r="S302" s="8">
        <v>582.54</v>
      </c>
      <c r="T302" s="8">
        <v>696.36</v>
      </c>
      <c r="U302" s="8">
        <v>729.54</v>
      </c>
      <c r="V302" s="8">
        <v>711.48</v>
      </c>
      <c r="W302" s="8">
        <v>675.36</v>
      </c>
      <c r="X302" s="8">
        <v>585.05999999999995</v>
      </c>
      <c r="Y302" s="8">
        <v>537.6</v>
      </c>
      <c r="Z302" s="8">
        <v>502.74</v>
      </c>
    </row>
    <row r="303" spans="1:26" x14ac:dyDescent="0.25">
      <c r="A303" s="4">
        <v>41570</v>
      </c>
      <c r="B303" s="5">
        <f>SUM('2013 - 8760 Load'!_Day662)</f>
        <v>14085.119999999999</v>
      </c>
      <c r="C303" s="8">
        <v>477.12</v>
      </c>
      <c r="D303" s="8">
        <v>459.48</v>
      </c>
      <c r="E303" s="8">
        <v>467.88</v>
      </c>
      <c r="F303" s="8">
        <v>483</v>
      </c>
      <c r="G303" s="8">
        <v>526.67999999999995</v>
      </c>
      <c r="H303" s="8">
        <v>599.34</v>
      </c>
      <c r="I303" s="8">
        <v>620.34</v>
      </c>
      <c r="J303" s="8">
        <v>609.84</v>
      </c>
      <c r="K303" s="8">
        <v>589.26</v>
      </c>
      <c r="L303" s="8">
        <v>574.55999999999995</v>
      </c>
      <c r="M303" s="8">
        <v>562.79999999999995</v>
      </c>
      <c r="N303" s="8">
        <v>522.05999999999995</v>
      </c>
      <c r="O303" s="8">
        <v>530.04</v>
      </c>
      <c r="P303" s="8">
        <v>552.29999999999995</v>
      </c>
      <c r="Q303" s="8">
        <v>557.34</v>
      </c>
      <c r="R303" s="8">
        <v>582.96</v>
      </c>
      <c r="S303" s="8">
        <v>656.46</v>
      </c>
      <c r="T303" s="8">
        <v>752.64</v>
      </c>
      <c r="U303" s="8">
        <v>795.06</v>
      </c>
      <c r="V303" s="8">
        <v>749.28</v>
      </c>
      <c r="W303" s="8">
        <v>706.44</v>
      </c>
      <c r="X303" s="8">
        <v>628.74</v>
      </c>
      <c r="Y303" s="8">
        <v>563.64</v>
      </c>
      <c r="Z303" s="8">
        <v>517.86</v>
      </c>
    </row>
    <row r="304" spans="1:26" x14ac:dyDescent="0.25">
      <c r="A304" s="4">
        <v>41571</v>
      </c>
      <c r="B304" s="5">
        <f>SUM('2013 - 8760 Load'!_Day663)</f>
        <v>14550.48</v>
      </c>
      <c r="C304" s="8">
        <v>497.7</v>
      </c>
      <c r="D304" s="8">
        <v>489.72</v>
      </c>
      <c r="E304" s="8">
        <v>492.66</v>
      </c>
      <c r="F304" s="8">
        <v>509.04</v>
      </c>
      <c r="G304" s="8">
        <v>547.26</v>
      </c>
      <c r="H304" s="8">
        <v>628.74</v>
      </c>
      <c r="I304" s="8">
        <v>616.98</v>
      </c>
      <c r="J304" s="8">
        <v>620.34</v>
      </c>
      <c r="K304" s="8">
        <v>610.26</v>
      </c>
      <c r="L304" s="8">
        <v>621.17999999999995</v>
      </c>
      <c r="M304" s="8">
        <v>592.20000000000005</v>
      </c>
      <c r="N304" s="8">
        <v>593.88</v>
      </c>
      <c r="O304" s="8">
        <v>551.46</v>
      </c>
      <c r="P304" s="8">
        <v>559.86</v>
      </c>
      <c r="Q304" s="8">
        <v>557.34</v>
      </c>
      <c r="R304" s="8">
        <v>585.48</v>
      </c>
      <c r="S304" s="8">
        <v>680.4</v>
      </c>
      <c r="T304" s="8">
        <v>758.94</v>
      </c>
      <c r="U304" s="8">
        <v>787.92</v>
      </c>
      <c r="V304" s="8">
        <v>758.1</v>
      </c>
      <c r="W304" s="8">
        <v>711.48</v>
      </c>
      <c r="X304" s="8">
        <v>647.64</v>
      </c>
      <c r="Y304" s="8">
        <v>580.86</v>
      </c>
      <c r="Z304" s="8">
        <v>551.04</v>
      </c>
    </row>
    <row r="305" spans="1:26" x14ac:dyDescent="0.25">
      <c r="A305" s="4">
        <v>41572</v>
      </c>
      <c r="B305" s="5">
        <f>SUM('2013 - 8760 Load'!_Day664)</f>
        <v>15225.839999999998</v>
      </c>
      <c r="C305" s="8">
        <v>525</v>
      </c>
      <c r="D305" s="8">
        <v>520.79999999999995</v>
      </c>
      <c r="E305" s="8">
        <v>509.46</v>
      </c>
      <c r="F305" s="8">
        <v>522.05999999999995</v>
      </c>
      <c r="G305" s="8">
        <v>584.22</v>
      </c>
      <c r="H305" s="8">
        <v>640.5</v>
      </c>
      <c r="I305" s="8">
        <v>650.58000000000004</v>
      </c>
      <c r="J305" s="8">
        <v>645.54</v>
      </c>
      <c r="K305" s="8">
        <v>630</v>
      </c>
      <c r="L305" s="8">
        <v>618.66</v>
      </c>
      <c r="M305" s="8">
        <v>607.74</v>
      </c>
      <c r="N305" s="8">
        <v>628.74</v>
      </c>
      <c r="O305" s="8">
        <v>582.54</v>
      </c>
      <c r="P305" s="8">
        <v>576.24</v>
      </c>
      <c r="Q305" s="8">
        <v>600.17999999999995</v>
      </c>
      <c r="R305" s="8">
        <v>620.34</v>
      </c>
      <c r="S305" s="8">
        <v>668.22</v>
      </c>
      <c r="T305" s="8">
        <v>779.94</v>
      </c>
      <c r="U305" s="8">
        <v>792.54</v>
      </c>
      <c r="V305" s="8">
        <v>766.08</v>
      </c>
      <c r="W305" s="8">
        <v>745.08</v>
      </c>
      <c r="X305" s="8">
        <v>711.48</v>
      </c>
      <c r="Y305" s="8">
        <v>672</v>
      </c>
      <c r="Z305" s="8">
        <v>627.9</v>
      </c>
    </row>
    <row r="306" spans="1:26" x14ac:dyDescent="0.25">
      <c r="A306" s="4">
        <v>41573</v>
      </c>
      <c r="B306" s="5">
        <f>SUM('2013 - 8760 Load'!_Day665)</f>
        <v>16830.240000000002</v>
      </c>
      <c r="C306" s="8">
        <v>606.48</v>
      </c>
      <c r="D306" s="8">
        <v>579.17999999999995</v>
      </c>
      <c r="E306" s="8">
        <v>578.76</v>
      </c>
      <c r="F306" s="8">
        <v>574.55999999999995</v>
      </c>
      <c r="G306" s="8">
        <v>599.76</v>
      </c>
      <c r="H306" s="8">
        <v>641.76</v>
      </c>
      <c r="I306" s="8">
        <v>704.76</v>
      </c>
      <c r="J306" s="8">
        <v>749.7</v>
      </c>
      <c r="K306" s="8">
        <v>766.08</v>
      </c>
      <c r="L306" s="8">
        <v>752.22</v>
      </c>
      <c r="M306" s="8">
        <v>752.22</v>
      </c>
      <c r="N306" s="8">
        <v>775.32</v>
      </c>
      <c r="O306" s="8">
        <v>698.04</v>
      </c>
      <c r="P306" s="8">
        <v>676.62</v>
      </c>
      <c r="Q306" s="8">
        <v>711.9</v>
      </c>
      <c r="R306" s="8">
        <v>706.02</v>
      </c>
      <c r="S306" s="8">
        <v>766.08</v>
      </c>
      <c r="T306" s="8">
        <v>837.48</v>
      </c>
      <c r="U306" s="8">
        <v>845.88</v>
      </c>
      <c r="V306" s="8">
        <v>800.94</v>
      </c>
      <c r="W306" s="8">
        <v>778.26</v>
      </c>
      <c r="X306" s="8">
        <v>703.08</v>
      </c>
      <c r="Y306" s="8">
        <v>643.02</v>
      </c>
      <c r="Z306" s="8">
        <v>582.12</v>
      </c>
    </row>
    <row r="307" spans="1:26" x14ac:dyDescent="0.25">
      <c r="A307" s="4">
        <v>41574</v>
      </c>
      <c r="B307" s="5">
        <f>SUM('2013 - 8760 Load'!_Day666)</f>
        <v>15252.3</v>
      </c>
      <c r="C307" s="8">
        <v>552.72</v>
      </c>
      <c r="D307" s="8">
        <v>529.20000000000005</v>
      </c>
      <c r="E307" s="8">
        <v>521.64</v>
      </c>
      <c r="F307" s="8">
        <v>517.02</v>
      </c>
      <c r="G307" s="8">
        <v>534.66</v>
      </c>
      <c r="H307" s="8">
        <v>562.38</v>
      </c>
      <c r="I307" s="8">
        <v>625.79999999999995</v>
      </c>
      <c r="J307" s="8">
        <v>667.8</v>
      </c>
      <c r="K307" s="8">
        <v>693</v>
      </c>
      <c r="L307" s="8">
        <v>689.64</v>
      </c>
      <c r="M307" s="8">
        <v>697.62</v>
      </c>
      <c r="N307" s="8">
        <v>703.92</v>
      </c>
      <c r="O307" s="8">
        <v>665.7</v>
      </c>
      <c r="P307" s="8">
        <v>638.82000000000005</v>
      </c>
      <c r="Q307" s="8">
        <v>635.04</v>
      </c>
      <c r="R307" s="8">
        <v>655.62</v>
      </c>
      <c r="S307" s="8">
        <v>711.48</v>
      </c>
      <c r="T307" s="8">
        <v>764.4</v>
      </c>
      <c r="U307" s="8">
        <v>737.94</v>
      </c>
      <c r="V307" s="8">
        <v>733.32</v>
      </c>
      <c r="W307" s="8">
        <v>689.64</v>
      </c>
      <c r="X307" s="8">
        <v>637.98</v>
      </c>
      <c r="Y307" s="8">
        <v>568.26</v>
      </c>
      <c r="Z307" s="8">
        <v>518.70000000000005</v>
      </c>
    </row>
    <row r="308" spans="1:26" x14ac:dyDescent="0.25">
      <c r="A308" s="4">
        <v>41575</v>
      </c>
      <c r="B308" s="5">
        <f>SUM('2013 - 8760 Load'!_Day667)</f>
        <v>14032.199999999999</v>
      </c>
      <c r="C308" s="8">
        <v>509.46</v>
      </c>
      <c r="D308" s="8">
        <v>502.32</v>
      </c>
      <c r="E308" s="8">
        <v>496.86</v>
      </c>
      <c r="F308" s="8">
        <v>506.52</v>
      </c>
      <c r="G308" s="8">
        <v>567.41999999999996</v>
      </c>
      <c r="H308" s="8">
        <v>647.64</v>
      </c>
      <c r="I308" s="8">
        <v>652.67999999999995</v>
      </c>
      <c r="J308" s="8">
        <v>611.52</v>
      </c>
      <c r="K308" s="8">
        <v>585.9</v>
      </c>
      <c r="L308" s="8">
        <v>561.54</v>
      </c>
      <c r="M308" s="8">
        <v>549.36</v>
      </c>
      <c r="N308" s="8">
        <v>548.94000000000005</v>
      </c>
      <c r="O308" s="8">
        <v>514.08000000000004</v>
      </c>
      <c r="P308" s="8">
        <v>496.44</v>
      </c>
      <c r="Q308" s="8">
        <v>521.64</v>
      </c>
      <c r="R308" s="8">
        <v>560.70000000000005</v>
      </c>
      <c r="S308" s="8">
        <v>654.36</v>
      </c>
      <c r="T308" s="8">
        <v>739.62</v>
      </c>
      <c r="U308" s="8">
        <v>742.98</v>
      </c>
      <c r="V308" s="8">
        <v>723.66</v>
      </c>
      <c r="W308" s="8">
        <v>658.56</v>
      </c>
      <c r="X308" s="8">
        <v>606.05999999999995</v>
      </c>
      <c r="Y308" s="8">
        <v>551.04</v>
      </c>
      <c r="Z308" s="8">
        <v>522.9</v>
      </c>
    </row>
    <row r="309" spans="1:26" x14ac:dyDescent="0.25">
      <c r="A309" s="4">
        <v>41576</v>
      </c>
      <c r="B309" s="5">
        <f>SUM('2013 - 8760 Load'!_Day668)</f>
        <v>14143.08</v>
      </c>
      <c r="C309" s="8">
        <v>493.5</v>
      </c>
      <c r="D309" s="8">
        <v>479.64</v>
      </c>
      <c r="E309" s="8">
        <v>484.26</v>
      </c>
      <c r="F309" s="8">
        <v>483</v>
      </c>
      <c r="G309" s="8">
        <v>539.70000000000005</v>
      </c>
      <c r="H309" s="8">
        <v>620.34</v>
      </c>
      <c r="I309" s="8">
        <v>608.16</v>
      </c>
      <c r="J309" s="8">
        <v>598.91999999999996</v>
      </c>
      <c r="K309" s="8">
        <v>580.02</v>
      </c>
      <c r="L309" s="8">
        <v>582.12</v>
      </c>
      <c r="M309" s="8">
        <v>575.4</v>
      </c>
      <c r="N309" s="8">
        <v>558.6</v>
      </c>
      <c r="O309" s="8">
        <v>514.91999999999996</v>
      </c>
      <c r="P309" s="8">
        <v>510.3</v>
      </c>
      <c r="Q309" s="8">
        <v>538.44000000000005</v>
      </c>
      <c r="R309" s="8">
        <v>564.9</v>
      </c>
      <c r="S309" s="8">
        <v>643.86</v>
      </c>
      <c r="T309" s="8">
        <v>731.22</v>
      </c>
      <c r="U309" s="8">
        <v>742.56</v>
      </c>
      <c r="V309" s="8">
        <v>762.72</v>
      </c>
      <c r="W309" s="8">
        <v>702.66</v>
      </c>
      <c r="X309" s="8">
        <v>665.28</v>
      </c>
      <c r="Y309" s="8">
        <v>610.67999999999995</v>
      </c>
      <c r="Z309" s="8">
        <v>551.88</v>
      </c>
    </row>
    <row r="310" spans="1:26" x14ac:dyDescent="0.25">
      <c r="A310" s="4">
        <v>41577</v>
      </c>
      <c r="B310" s="5">
        <f>SUM('2013 - 8760 Load'!_Day669)</f>
        <v>14256.899999999998</v>
      </c>
      <c r="C310" s="8">
        <v>524.58000000000004</v>
      </c>
      <c r="D310" s="8">
        <v>511.14</v>
      </c>
      <c r="E310" s="8">
        <v>512.82000000000005</v>
      </c>
      <c r="F310" s="8">
        <v>525</v>
      </c>
      <c r="G310" s="8">
        <v>566.16</v>
      </c>
      <c r="H310" s="8">
        <v>640.5</v>
      </c>
      <c r="I310" s="8">
        <v>645.54</v>
      </c>
      <c r="J310" s="8">
        <v>644.28</v>
      </c>
      <c r="K310" s="8">
        <v>607.74</v>
      </c>
      <c r="L310" s="8">
        <v>616.98</v>
      </c>
      <c r="M310" s="8">
        <v>577.5</v>
      </c>
      <c r="N310" s="8">
        <v>572.46</v>
      </c>
      <c r="O310" s="8">
        <v>543.9</v>
      </c>
      <c r="P310" s="8">
        <v>524.58000000000004</v>
      </c>
      <c r="Q310" s="8">
        <v>504.84</v>
      </c>
      <c r="R310" s="8">
        <v>561.96</v>
      </c>
      <c r="S310" s="8">
        <v>606.05999999999995</v>
      </c>
      <c r="T310" s="8">
        <v>733.74</v>
      </c>
      <c r="U310" s="8">
        <v>746.34</v>
      </c>
      <c r="V310" s="8">
        <v>724.92</v>
      </c>
      <c r="W310" s="8">
        <v>679.56</v>
      </c>
      <c r="X310" s="8">
        <v>616.55999999999995</v>
      </c>
      <c r="Y310" s="8">
        <v>561.54</v>
      </c>
      <c r="Z310" s="8">
        <v>508.2</v>
      </c>
    </row>
    <row r="311" spans="1:26" x14ac:dyDescent="0.25">
      <c r="A311" s="4">
        <v>41578</v>
      </c>
      <c r="B311" s="5">
        <f>SUM('2013 - 8760 Load'!_Day670)</f>
        <v>13637.819999999996</v>
      </c>
      <c r="C311" s="8">
        <v>493.5</v>
      </c>
      <c r="D311" s="8">
        <v>476.28</v>
      </c>
      <c r="E311" s="8">
        <v>468.3</v>
      </c>
      <c r="F311" s="8">
        <v>471.66</v>
      </c>
      <c r="G311" s="8">
        <v>511.56</v>
      </c>
      <c r="H311" s="8">
        <v>590.52</v>
      </c>
      <c r="I311" s="8">
        <v>610.26</v>
      </c>
      <c r="J311" s="8">
        <v>577.08000000000004</v>
      </c>
      <c r="K311" s="8">
        <v>595.55999999999995</v>
      </c>
      <c r="L311" s="8">
        <v>572.04</v>
      </c>
      <c r="M311" s="8">
        <v>561.12</v>
      </c>
      <c r="N311" s="8">
        <v>561.12</v>
      </c>
      <c r="O311" s="8">
        <v>562.79999999999995</v>
      </c>
      <c r="P311" s="8">
        <v>585.48</v>
      </c>
      <c r="Q311" s="8">
        <v>590.52</v>
      </c>
      <c r="R311" s="8">
        <v>604.38</v>
      </c>
      <c r="S311" s="8">
        <v>645.54</v>
      </c>
      <c r="T311" s="8">
        <v>679.14</v>
      </c>
      <c r="U311" s="8">
        <v>658.56</v>
      </c>
      <c r="V311" s="8">
        <v>665.7</v>
      </c>
      <c r="W311" s="8">
        <v>612.36</v>
      </c>
      <c r="X311" s="8">
        <v>573.72</v>
      </c>
      <c r="Y311" s="8">
        <v>513.66</v>
      </c>
      <c r="Z311" s="8">
        <v>456.96</v>
      </c>
    </row>
    <row r="312" spans="1:26" x14ac:dyDescent="0.25">
      <c r="A312" s="4">
        <v>41579</v>
      </c>
      <c r="B312" s="5">
        <f>SUM('2013 - 8760 Load'!_Day671)</f>
        <v>12560.94</v>
      </c>
      <c r="C312" s="8">
        <v>427.98</v>
      </c>
      <c r="D312" s="8">
        <v>412.86</v>
      </c>
      <c r="E312" s="8">
        <v>399</v>
      </c>
      <c r="F312" s="8">
        <v>422.1</v>
      </c>
      <c r="G312" s="8">
        <v>449.82</v>
      </c>
      <c r="H312" s="8">
        <v>508.2</v>
      </c>
      <c r="I312" s="8">
        <v>542.64</v>
      </c>
      <c r="J312" s="8">
        <v>527.52</v>
      </c>
      <c r="K312" s="8">
        <v>517.86</v>
      </c>
      <c r="L312" s="8">
        <v>527.52</v>
      </c>
      <c r="M312" s="8">
        <v>525.41999999999996</v>
      </c>
      <c r="N312" s="8">
        <v>529.62</v>
      </c>
      <c r="O312" s="8">
        <v>535.5</v>
      </c>
      <c r="P312" s="8">
        <v>511.14</v>
      </c>
      <c r="Q312" s="8">
        <v>501.48</v>
      </c>
      <c r="R312" s="8">
        <v>520.79999999999995</v>
      </c>
      <c r="S312" s="8">
        <v>550.62</v>
      </c>
      <c r="T312" s="8">
        <v>631.67999999999995</v>
      </c>
      <c r="U312" s="8">
        <v>637.55999999999995</v>
      </c>
      <c r="V312" s="8">
        <v>639.24</v>
      </c>
      <c r="W312" s="8">
        <v>615.72</v>
      </c>
      <c r="X312" s="8">
        <v>603.12</v>
      </c>
      <c r="Y312" s="8">
        <v>538.44000000000005</v>
      </c>
      <c r="Z312" s="8">
        <v>485.1</v>
      </c>
    </row>
    <row r="313" spans="1:26" x14ac:dyDescent="0.25">
      <c r="A313" s="4">
        <v>41580</v>
      </c>
      <c r="B313" s="5">
        <f>SUM('2013 - 8760 Load'!_Day672)</f>
        <v>14551.74</v>
      </c>
      <c r="C313" s="8">
        <v>452.76</v>
      </c>
      <c r="D313" s="8">
        <v>442.26</v>
      </c>
      <c r="E313" s="8">
        <v>450.66</v>
      </c>
      <c r="F313" s="8">
        <v>448.14</v>
      </c>
      <c r="G313" s="8">
        <v>461.16</v>
      </c>
      <c r="H313" s="8">
        <v>496.44</v>
      </c>
      <c r="I313" s="8">
        <v>556.5</v>
      </c>
      <c r="J313" s="8">
        <v>592.62</v>
      </c>
      <c r="K313" s="8">
        <v>627.05999999999995</v>
      </c>
      <c r="L313" s="8">
        <v>647.22</v>
      </c>
      <c r="M313" s="8">
        <v>614.46</v>
      </c>
      <c r="N313" s="8">
        <v>629.16</v>
      </c>
      <c r="O313" s="8">
        <v>655.62</v>
      </c>
      <c r="P313" s="8">
        <v>641.76</v>
      </c>
      <c r="Q313" s="8">
        <v>641.34</v>
      </c>
      <c r="R313" s="8">
        <v>650.58000000000004</v>
      </c>
      <c r="S313" s="8">
        <v>675.36</v>
      </c>
      <c r="T313" s="8">
        <v>750.12</v>
      </c>
      <c r="U313" s="8">
        <v>743.82</v>
      </c>
      <c r="V313" s="8">
        <v>754.74</v>
      </c>
      <c r="W313" s="8">
        <v>732.48</v>
      </c>
      <c r="X313" s="8">
        <v>688.8</v>
      </c>
      <c r="Y313" s="8">
        <v>632.52</v>
      </c>
      <c r="Z313" s="8">
        <v>566.16</v>
      </c>
    </row>
    <row r="314" spans="1:26" x14ac:dyDescent="0.25">
      <c r="A314" s="4">
        <v>41581</v>
      </c>
      <c r="B314" s="5">
        <f>SUM('2013 - 8760 Load'!_Day673)</f>
        <v>15652.560000000001</v>
      </c>
      <c r="C314" s="8">
        <v>509.04</v>
      </c>
      <c r="D314" s="8">
        <v>480.9</v>
      </c>
      <c r="E314" s="8">
        <v>478.8</v>
      </c>
      <c r="F314" s="8">
        <v>490.14</v>
      </c>
      <c r="G314" s="8">
        <v>490.56</v>
      </c>
      <c r="H314" s="8">
        <v>518.70000000000005</v>
      </c>
      <c r="I314" s="8">
        <v>553.98</v>
      </c>
      <c r="J314" s="8">
        <v>611.94000000000005</v>
      </c>
      <c r="K314" s="8">
        <v>698.04</v>
      </c>
      <c r="L314" s="8">
        <v>736.26</v>
      </c>
      <c r="M314" s="8">
        <v>743.82</v>
      </c>
      <c r="N314" s="8">
        <v>708.96</v>
      </c>
      <c r="O314" s="8">
        <v>714</v>
      </c>
      <c r="P314" s="8">
        <v>668.22</v>
      </c>
      <c r="Q314" s="8">
        <v>664.86</v>
      </c>
      <c r="R314" s="8">
        <v>669.48</v>
      </c>
      <c r="S314" s="8">
        <v>713.58</v>
      </c>
      <c r="T314" s="8">
        <v>797.58</v>
      </c>
      <c r="U314" s="8">
        <v>837.06</v>
      </c>
      <c r="V314" s="8">
        <v>802.2</v>
      </c>
      <c r="W314" s="8">
        <v>780.36</v>
      </c>
      <c r="X314" s="8">
        <v>721.98</v>
      </c>
      <c r="Y314" s="8">
        <v>664.02</v>
      </c>
      <c r="Z314" s="8">
        <v>598.08000000000004</v>
      </c>
    </row>
    <row r="315" spans="1:26" x14ac:dyDescent="0.25">
      <c r="A315" s="4">
        <v>41582</v>
      </c>
      <c r="B315" s="5">
        <f>SUM('2013 - 8760 Load'!_Day674)</f>
        <v>15729.42</v>
      </c>
      <c r="C315" s="8">
        <v>568.26</v>
      </c>
      <c r="D315" s="8">
        <v>551.04</v>
      </c>
      <c r="E315" s="8">
        <v>557.76</v>
      </c>
      <c r="F315" s="8">
        <v>561.96</v>
      </c>
      <c r="G315" s="8">
        <v>570.36</v>
      </c>
      <c r="H315" s="8">
        <v>625.79999999999995</v>
      </c>
      <c r="I315" s="8">
        <v>699.72</v>
      </c>
      <c r="J315" s="8">
        <v>705.6</v>
      </c>
      <c r="K315" s="8">
        <v>661.92</v>
      </c>
      <c r="L315" s="8">
        <v>609.84</v>
      </c>
      <c r="M315" s="8">
        <v>637.14</v>
      </c>
      <c r="N315" s="8">
        <v>600.6</v>
      </c>
      <c r="O315" s="8">
        <v>603.96</v>
      </c>
      <c r="P315" s="8">
        <v>580.02</v>
      </c>
      <c r="Q315" s="8">
        <v>589.26</v>
      </c>
      <c r="R315" s="8">
        <v>608.16</v>
      </c>
      <c r="S315" s="8">
        <v>672</v>
      </c>
      <c r="T315" s="8">
        <v>812.28</v>
      </c>
      <c r="U315" s="8">
        <v>837.48</v>
      </c>
      <c r="V315" s="8">
        <v>818.16</v>
      </c>
      <c r="W315" s="8">
        <v>801.36</v>
      </c>
      <c r="X315" s="8">
        <v>741.3</v>
      </c>
      <c r="Y315" s="8">
        <v>679.56</v>
      </c>
      <c r="Z315" s="8">
        <v>635.88</v>
      </c>
    </row>
    <row r="316" spans="1:26" x14ac:dyDescent="0.25">
      <c r="A316" s="4">
        <v>41583</v>
      </c>
      <c r="B316" s="5">
        <f>SUM('2013 - 8760 Load'!_Day675)</f>
        <v>14806.259999999998</v>
      </c>
      <c r="C316" s="8">
        <v>569.94000000000005</v>
      </c>
      <c r="D316" s="8">
        <v>558.6</v>
      </c>
      <c r="E316" s="8">
        <v>541.38</v>
      </c>
      <c r="F316" s="8">
        <v>549.36</v>
      </c>
      <c r="G316" s="8">
        <v>558.17999999999995</v>
      </c>
      <c r="H316" s="8">
        <v>601.02</v>
      </c>
      <c r="I316" s="8">
        <v>657.72</v>
      </c>
      <c r="J316" s="8">
        <v>667.38</v>
      </c>
      <c r="K316" s="8">
        <v>638.82000000000005</v>
      </c>
      <c r="L316" s="8">
        <v>620.34</v>
      </c>
      <c r="M316" s="8">
        <v>596.82000000000005</v>
      </c>
      <c r="N316" s="8">
        <v>567</v>
      </c>
      <c r="O316" s="8">
        <v>537.6</v>
      </c>
      <c r="P316" s="8">
        <v>508.2</v>
      </c>
      <c r="Q316" s="8">
        <v>536.76</v>
      </c>
      <c r="R316" s="8">
        <v>547.26</v>
      </c>
      <c r="S316" s="8">
        <v>630.41999999999996</v>
      </c>
      <c r="T316" s="8">
        <v>759.36</v>
      </c>
      <c r="U316" s="8">
        <v>783.3</v>
      </c>
      <c r="V316" s="8">
        <v>785.4</v>
      </c>
      <c r="W316" s="8">
        <v>739.62</v>
      </c>
      <c r="X316" s="8">
        <v>671.58</v>
      </c>
      <c r="Y316" s="8">
        <v>617.4</v>
      </c>
      <c r="Z316" s="8">
        <v>562.79999999999995</v>
      </c>
    </row>
    <row r="317" spans="1:26" x14ac:dyDescent="0.25">
      <c r="A317" s="4">
        <v>41584</v>
      </c>
      <c r="B317" s="5">
        <f>SUM('2013 - 8760 Load'!_Day676)</f>
        <v>13841.52</v>
      </c>
      <c r="C317" s="8">
        <v>519.54</v>
      </c>
      <c r="D317" s="8">
        <v>495.18</v>
      </c>
      <c r="E317" s="8">
        <v>481.74</v>
      </c>
      <c r="F317" s="8">
        <v>483</v>
      </c>
      <c r="G317" s="8">
        <v>490.56</v>
      </c>
      <c r="H317" s="8">
        <v>548.1</v>
      </c>
      <c r="I317" s="8">
        <v>627.48</v>
      </c>
      <c r="J317" s="8">
        <v>591.36</v>
      </c>
      <c r="K317" s="8">
        <v>552.29999999999995</v>
      </c>
      <c r="L317" s="8">
        <v>525</v>
      </c>
      <c r="M317" s="8">
        <v>534.66</v>
      </c>
      <c r="N317" s="8">
        <v>529.20000000000005</v>
      </c>
      <c r="O317" s="8">
        <v>517.44000000000005</v>
      </c>
      <c r="P317" s="8">
        <v>538.86</v>
      </c>
      <c r="Q317" s="8">
        <v>543.9</v>
      </c>
      <c r="R317" s="8">
        <v>555.66</v>
      </c>
      <c r="S317" s="8">
        <v>610.67999999999995</v>
      </c>
      <c r="T317" s="8">
        <v>723.66</v>
      </c>
      <c r="U317" s="8">
        <v>760.2</v>
      </c>
      <c r="V317" s="8">
        <v>736.26</v>
      </c>
      <c r="W317" s="8">
        <v>705.18</v>
      </c>
      <c r="X317" s="8">
        <v>648.05999999999995</v>
      </c>
      <c r="Y317" s="8">
        <v>594.72</v>
      </c>
      <c r="Z317" s="8">
        <v>528.78</v>
      </c>
    </row>
    <row r="318" spans="1:26" x14ac:dyDescent="0.25">
      <c r="A318" s="4">
        <v>41585</v>
      </c>
      <c r="B318" s="5">
        <f>SUM('2013 - 8760 Load'!_Day677)</f>
        <v>13655.880000000001</v>
      </c>
      <c r="C318" s="8">
        <v>480.06</v>
      </c>
      <c r="D318" s="8">
        <v>456.54</v>
      </c>
      <c r="E318" s="8">
        <v>444.78</v>
      </c>
      <c r="F318" s="8">
        <v>449.82</v>
      </c>
      <c r="G318" s="8">
        <v>445.2</v>
      </c>
      <c r="H318" s="8">
        <v>483.42</v>
      </c>
      <c r="I318" s="8">
        <v>555.66</v>
      </c>
      <c r="J318" s="8">
        <v>548.52</v>
      </c>
      <c r="K318" s="8">
        <v>567</v>
      </c>
      <c r="L318" s="8">
        <v>529.20000000000005</v>
      </c>
      <c r="M318" s="8">
        <v>532.98</v>
      </c>
      <c r="N318" s="8">
        <v>541.38</v>
      </c>
      <c r="O318" s="8">
        <v>522.48</v>
      </c>
      <c r="P318" s="8">
        <v>525</v>
      </c>
      <c r="Q318" s="8">
        <v>534.66</v>
      </c>
      <c r="R318" s="8">
        <v>561.54</v>
      </c>
      <c r="S318" s="8">
        <v>630.41999999999996</v>
      </c>
      <c r="T318" s="8">
        <v>729.54</v>
      </c>
      <c r="U318" s="8">
        <v>759.78</v>
      </c>
      <c r="V318" s="8">
        <v>748.44</v>
      </c>
      <c r="W318" s="8">
        <v>708.54</v>
      </c>
      <c r="X318" s="8">
        <v>678.3</v>
      </c>
      <c r="Y318" s="8">
        <v>638.4</v>
      </c>
      <c r="Z318" s="8">
        <v>584.22</v>
      </c>
    </row>
    <row r="319" spans="1:26" x14ac:dyDescent="0.25">
      <c r="A319" s="4">
        <v>41586</v>
      </c>
      <c r="B319" s="5">
        <f>SUM('2013 - 8760 Load'!_Day678)</f>
        <v>15626.939999999999</v>
      </c>
      <c r="C319" s="8">
        <v>532.55999999999995</v>
      </c>
      <c r="D319" s="8">
        <v>514.08000000000004</v>
      </c>
      <c r="E319" s="8">
        <v>501.48</v>
      </c>
      <c r="F319" s="8">
        <v>497.7</v>
      </c>
      <c r="G319" s="8">
        <v>522.48</v>
      </c>
      <c r="H319" s="8">
        <v>568.26</v>
      </c>
      <c r="I319" s="8">
        <v>626.64</v>
      </c>
      <c r="J319" s="8">
        <v>615.29999999999995</v>
      </c>
      <c r="K319" s="8">
        <v>604.79999999999995</v>
      </c>
      <c r="L319" s="8">
        <v>577.91999999999996</v>
      </c>
      <c r="M319" s="8">
        <v>608.58000000000004</v>
      </c>
      <c r="N319" s="8">
        <v>622.44000000000005</v>
      </c>
      <c r="O319" s="8">
        <v>631.26</v>
      </c>
      <c r="P319" s="8">
        <v>634.20000000000005</v>
      </c>
      <c r="Q319" s="8">
        <v>637.14</v>
      </c>
      <c r="R319" s="8">
        <v>657.72</v>
      </c>
      <c r="S319" s="8">
        <v>725.76</v>
      </c>
      <c r="T319" s="8">
        <v>816.06</v>
      </c>
      <c r="U319" s="8">
        <v>831.6</v>
      </c>
      <c r="V319" s="8">
        <v>826.98</v>
      </c>
      <c r="W319" s="8">
        <v>811.02</v>
      </c>
      <c r="X319" s="8">
        <v>804.3</v>
      </c>
      <c r="Y319" s="8">
        <v>767.34</v>
      </c>
      <c r="Z319" s="8">
        <v>691.32</v>
      </c>
    </row>
    <row r="320" spans="1:26" x14ac:dyDescent="0.25">
      <c r="A320" s="4">
        <v>41587</v>
      </c>
      <c r="B320" s="5">
        <f>SUM('2013 - 8760 Load'!_Day679)</f>
        <v>17073.420000000002</v>
      </c>
      <c r="C320" s="8">
        <v>650.16</v>
      </c>
      <c r="D320" s="8">
        <v>609.84</v>
      </c>
      <c r="E320" s="8">
        <v>588.84</v>
      </c>
      <c r="F320" s="8">
        <v>587.16</v>
      </c>
      <c r="G320" s="8">
        <v>606.05999999999995</v>
      </c>
      <c r="H320" s="8">
        <v>618.24</v>
      </c>
      <c r="I320" s="8">
        <v>654.36</v>
      </c>
      <c r="J320" s="8">
        <v>701.4</v>
      </c>
      <c r="K320" s="8">
        <v>735.42</v>
      </c>
      <c r="L320" s="8">
        <v>771.12</v>
      </c>
      <c r="M320" s="8">
        <v>776.16</v>
      </c>
      <c r="N320" s="8">
        <v>741.3</v>
      </c>
      <c r="O320" s="8">
        <v>702.66</v>
      </c>
      <c r="P320" s="8">
        <v>708.96</v>
      </c>
      <c r="Q320" s="8">
        <v>693.84</v>
      </c>
      <c r="R320" s="8">
        <v>725.34</v>
      </c>
      <c r="S320" s="8">
        <v>737.94</v>
      </c>
      <c r="T320" s="8">
        <v>843.78</v>
      </c>
      <c r="U320" s="8">
        <v>844.2</v>
      </c>
      <c r="V320" s="8">
        <v>817.32</v>
      </c>
      <c r="W320" s="8">
        <v>826.14</v>
      </c>
      <c r="X320" s="8">
        <v>767.34</v>
      </c>
      <c r="Y320" s="8">
        <v>722.4</v>
      </c>
      <c r="Z320" s="8">
        <v>643.44000000000005</v>
      </c>
    </row>
    <row r="321" spans="1:26" x14ac:dyDescent="0.25">
      <c r="A321" s="4">
        <v>41588</v>
      </c>
      <c r="B321" s="5">
        <f>SUM('2013 - 8760 Load'!_Day680)</f>
        <v>16519.439999999999</v>
      </c>
      <c r="C321" s="8">
        <v>596.82000000000005</v>
      </c>
      <c r="D321" s="8">
        <v>556.5</v>
      </c>
      <c r="E321" s="8">
        <v>545.58000000000004</v>
      </c>
      <c r="F321" s="8">
        <v>546.84</v>
      </c>
      <c r="G321" s="8">
        <v>554.4</v>
      </c>
      <c r="H321" s="8">
        <v>553.98</v>
      </c>
      <c r="I321" s="8">
        <v>600.17999999999995</v>
      </c>
      <c r="J321" s="8">
        <v>655.20000000000005</v>
      </c>
      <c r="K321" s="8">
        <v>694.26</v>
      </c>
      <c r="L321" s="8">
        <v>689.64</v>
      </c>
      <c r="M321" s="8">
        <v>689.64</v>
      </c>
      <c r="N321" s="8">
        <v>749.7</v>
      </c>
      <c r="O321" s="8">
        <v>734.58</v>
      </c>
      <c r="P321" s="8">
        <v>756</v>
      </c>
      <c r="Q321" s="8">
        <v>710.64</v>
      </c>
      <c r="R321" s="8">
        <v>724.5</v>
      </c>
      <c r="S321" s="8">
        <v>805.56</v>
      </c>
      <c r="T321" s="8">
        <v>856.38</v>
      </c>
      <c r="U321" s="8">
        <v>881.16</v>
      </c>
      <c r="V321" s="8">
        <v>810.18</v>
      </c>
      <c r="W321" s="8">
        <v>771.54</v>
      </c>
      <c r="X321" s="8">
        <v>735</v>
      </c>
      <c r="Y321" s="8">
        <v>679.14</v>
      </c>
      <c r="Z321" s="8">
        <v>622.02</v>
      </c>
    </row>
    <row r="322" spans="1:26" x14ac:dyDescent="0.25">
      <c r="A322" s="4">
        <v>41589</v>
      </c>
      <c r="B322" s="5">
        <f>SUM('2013 - 8760 Load'!_Day681)</f>
        <v>12066.6</v>
      </c>
      <c r="C322" s="8">
        <v>569.94000000000005</v>
      </c>
      <c r="D322" s="8">
        <v>575.4</v>
      </c>
      <c r="E322" s="8">
        <v>754.32</v>
      </c>
      <c r="F322" s="8">
        <v>13.44</v>
      </c>
      <c r="G322" s="8">
        <v>22.68</v>
      </c>
      <c r="H322" s="8">
        <v>22.26</v>
      </c>
      <c r="I322" s="8">
        <v>22.68</v>
      </c>
      <c r="J322" s="8">
        <v>22.68</v>
      </c>
      <c r="K322" s="8">
        <v>23.52</v>
      </c>
      <c r="L322" s="8">
        <v>23.1</v>
      </c>
      <c r="M322" s="8">
        <v>677.04</v>
      </c>
      <c r="N322" s="8">
        <v>668.22</v>
      </c>
      <c r="O322" s="8">
        <v>658.98</v>
      </c>
      <c r="P322" s="8">
        <v>669.06</v>
      </c>
      <c r="Q322" s="8">
        <v>683.76</v>
      </c>
      <c r="R322" s="8">
        <v>742.98</v>
      </c>
      <c r="S322" s="8">
        <v>742.56</v>
      </c>
      <c r="T322" s="8">
        <v>806.82</v>
      </c>
      <c r="U322" s="8">
        <v>861.84</v>
      </c>
      <c r="V322" s="8">
        <v>808.5</v>
      </c>
      <c r="W322" s="8">
        <v>777.42</v>
      </c>
      <c r="X322" s="8">
        <v>703.08</v>
      </c>
      <c r="Y322" s="8">
        <v>641.34</v>
      </c>
      <c r="Z322" s="8">
        <v>574.98</v>
      </c>
    </row>
    <row r="323" spans="1:26" x14ac:dyDescent="0.25">
      <c r="A323" s="4">
        <v>41590</v>
      </c>
      <c r="B323" s="5">
        <f>SUM('2013 - 8760 Load'!_Day682)</f>
        <v>16435.02</v>
      </c>
      <c r="C323" s="8">
        <v>538.02</v>
      </c>
      <c r="D323" s="8">
        <v>522.05999999999995</v>
      </c>
      <c r="E323" s="8">
        <v>517.44000000000005</v>
      </c>
      <c r="F323" s="8">
        <v>508.2</v>
      </c>
      <c r="G323" s="8">
        <v>541.79999999999995</v>
      </c>
      <c r="H323" s="8">
        <v>597.66</v>
      </c>
      <c r="I323" s="8">
        <v>676.2</v>
      </c>
      <c r="J323" s="8">
        <v>645.54</v>
      </c>
      <c r="K323" s="8">
        <v>651</v>
      </c>
      <c r="L323" s="8">
        <v>658.14</v>
      </c>
      <c r="M323" s="8">
        <v>664.02</v>
      </c>
      <c r="N323" s="8">
        <v>653.1</v>
      </c>
      <c r="O323" s="8">
        <v>655.62</v>
      </c>
      <c r="P323" s="8">
        <v>630.84</v>
      </c>
      <c r="Q323" s="8">
        <v>665.28</v>
      </c>
      <c r="R323" s="8">
        <v>672</v>
      </c>
      <c r="S323" s="8">
        <v>732.48</v>
      </c>
      <c r="T323" s="8">
        <v>865.62</v>
      </c>
      <c r="U323" s="8">
        <v>913.08</v>
      </c>
      <c r="V323" s="8">
        <v>900.06</v>
      </c>
      <c r="W323" s="8">
        <v>887.04</v>
      </c>
      <c r="X323" s="8">
        <v>832.02</v>
      </c>
      <c r="Y323" s="8">
        <v>770.7</v>
      </c>
      <c r="Z323" s="8">
        <v>737.1</v>
      </c>
    </row>
    <row r="324" spans="1:26" x14ac:dyDescent="0.25">
      <c r="A324" s="4">
        <v>41591</v>
      </c>
      <c r="B324" s="5">
        <f>SUM('2013 - 8760 Load'!_Day683)</f>
        <v>17561.460000000003</v>
      </c>
      <c r="C324" s="8">
        <v>664.44</v>
      </c>
      <c r="D324" s="8">
        <v>631.67999999999995</v>
      </c>
      <c r="E324" s="8">
        <v>635.04</v>
      </c>
      <c r="F324" s="8">
        <v>627.9</v>
      </c>
      <c r="G324" s="8">
        <v>633.78</v>
      </c>
      <c r="H324" s="8">
        <v>702.24</v>
      </c>
      <c r="I324" s="8">
        <v>774.9</v>
      </c>
      <c r="J324" s="8">
        <v>762.72</v>
      </c>
      <c r="K324" s="8">
        <v>749.28</v>
      </c>
      <c r="L324" s="8">
        <v>704.34</v>
      </c>
      <c r="M324" s="8">
        <v>696.36</v>
      </c>
      <c r="N324" s="8">
        <v>695.1</v>
      </c>
      <c r="O324" s="8">
        <v>673.26</v>
      </c>
      <c r="P324" s="8">
        <v>649.32000000000005</v>
      </c>
      <c r="Q324" s="8">
        <v>653.52</v>
      </c>
      <c r="R324" s="8">
        <v>672</v>
      </c>
      <c r="S324" s="8">
        <v>727.02</v>
      </c>
      <c r="T324" s="8">
        <v>869.4</v>
      </c>
      <c r="U324" s="8">
        <v>918.12</v>
      </c>
      <c r="V324" s="8">
        <v>914.34</v>
      </c>
      <c r="W324" s="8">
        <v>877.8</v>
      </c>
      <c r="X324" s="8">
        <v>844.2</v>
      </c>
      <c r="Y324" s="8">
        <v>772.8</v>
      </c>
      <c r="Z324" s="8">
        <v>711.9</v>
      </c>
    </row>
    <row r="325" spans="1:26" x14ac:dyDescent="0.25">
      <c r="A325" s="4">
        <v>41592</v>
      </c>
      <c r="B325" s="5">
        <f>SUM('2013 - 8760 Load'!_Day684)</f>
        <v>17136</v>
      </c>
      <c r="C325" s="8">
        <v>655.20000000000005</v>
      </c>
      <c r="D325" s="8">
        <v>641.76</v>
      </c>
      <c r="E325" s="8">
        <v>639.66</v>
      </c>
      <c r="F325" s="8">
        <v>625.79999999999995</v>
      </c>
      <c r="G325" s="8">
        <v>639.66</v>
      </c>
      <c r="H325" s="8">
        <v>703.5</v>
      </c>
      <c r="I325" s="8">
        <v>780.78</v>
      </c>
      <c r="J325" s="8">
        <v>758.1</v>
      </c>
      <c r="K325" s="8">
        <v>725.34</v>
      </c>
      <c r="L325" s="8">
        <v>713.16</v>
      </c>
      <c r="M325" s="8">
        <v>706.44</v>
      </c>
      <c r="N325" s="8">
        <v>651.41999999999996</v>
      </c>
      <c r="O325" s="8">
        <v>641.76</v>
      </c>
      <c r="P325" s="8">
        <v>624.54</v>
      </c>
      <c r="Q325" s="8">
        <v>612.78</v>
      </c>
      <c r="R325" s="8">
        <v>643.02</v>
      </c>
      <c r="S325" s="8">
        <v>714.84</v>
      </c>
      <c r="T325" s="8">
        <v>840.42</v>
      </c>
      <c r="U325" s="8">
        <v>860.58</v>
      </c>
      <c r="V325" s="8">
        <v>858.9</v>
      </c>
      <c r="W325" s="8">
        <v>846.3</v>
      </c>
      <c r="X325" s="8">
        <v>801.36</v>
      </c>
      <c r="Y325" s="8">
        <v>754.32</v>
      </c>
      <c r="Z325" s="8">
        <v>696.36</v>
      </c>
    </row>
    <row r="326" spans="1:26" x14ac:dyDescent="0.25">
      <c r="A326" s="4">
        <v>41593</v>
      </c>
      <c r="B326" s="5">
        <f>SUM('2013 - 8760 Load'!_Day685)</f>
        <v>16983.12</v>
      </c>
      <c r="C326" s="8">
        <v>636.72</v>
      </c>
      <c r="D326" s="8">
        <v>618.66</v>
      </c>
      <c r="E326" s="8">
        <v>592.62</v>
      </c>
      <c r="F326" s="8">
        <v>601.86</v>
      </c>
      <c r="G326" s="8">
        <v>607.32000000000005</v>
      </c>
      <c r="H326" s="8">
        <v>663.18</v>
      </c>
      <c r="I326" s="8">
        <v>745.08</v>
      </c>
      <c r="J326" s="8">
        <v>727.44</v>
      </c>
      <c r="K326" s="8">
        <v>720.3</v>
      </c>
      <c r="L326" s="8">
        <v>654.78</v>
      </c>
      <c r="M326" s="8">
        <v>656.88</v>
      </c>
      <c r="N326" s="8">
        <v>640.5</v>
      </c>
      <c r="O326" s="8">
        <v>635.88</v>
      </c>
      <c r="P326" s="8">
        <v>629.16</v>
      </c>
      <c r="Q326" s="8">
        <v>630.84</v>
      </c>
      <c r="R326" s="8">
        <v>636.29999999999995</v>
      </c>
      <c r="S326" s="8">
        <v>719.04</v>
      </c>
      <c r="T326" s="8">
        <v>868.14</v>
      </c>
      <c r="U326" s="8">
        <v>875.28</v>
      </c>
      <c r="V326" s="8">
        <v>872.34</v>
      </c>
      <c r="W326" s="8">
        <v>868.56</v>
      </c>
      <c r="X326" s="8">
        <v>856.38</v>
      </c>
      <c r="Y326" s="8">
        <v>803.04</v>
      </c>
      <c r="Z326" s="8">
        <v>722.82</v>
      </c>
    </row>
    <row r="327" spans="1:26" x14ac:dyDescent="0.25">
      <c r="A327" s="4">
        <v>41594</v>
      </c>
      <c r="B327" s="5">
        <f>SUM('2013 - 8760 Load'!_Day686)</f>
        <v>16556.399999999998</v>
      </c>
      <c r="C327" s="8">
        <v>646.79999999999995</v>
      </c>
      <c r="D327" s="8">
        <v>611.52</v>
      </c>
      <c r="E327" s="8">
        <v>585.9</v>
      </c>
      <c r="F327" s="8">
        <v>585.9</v>
      </c>
      <c r="G327" s="8">
        <v>600.17999999999995</v>
      </c>
      <c r="H327" s="8">
        <v>639.24</v>
      </c>
      <c r="I327" s="8">
        <v>655.20000000000005</v>
      </c>
      <c r="J327" s="8">
        <v>669.48</v>
      </c>
      <c r="K327" s="8">
        <v>733.32</v>
      </c>
      <c r="L327" s="8">
        <v>752.22</v>
      </c>
      <c r="M327" s="8">
        <v>742.14</v>
      </c>
      <c r="N327" s="8">
        <v>712.74</v>
      </c>
      <c r="O327" s="8">
        <v>675.36</v>
      </c>
      <c r="P327" s="8">
        <v>643.86</v>
      </c>
      <c r="Q327" s="8">
        <v>608.16</v>
      </c>
      <c r="R327" s="8">
        <v>614.46</v>
      </c>
      <c r="S327" s="8">
        <v>682.08</v>
      </c>
      <c r="T327" s="8">
        <v>806.82</v>
      </c>
      <c r="U327" s="8">
        <v>829.5</v>
      </c>
      <c r="V327" s="8">
        <v>804.3</v>
      </c>
      <c r="W327" s="8">
        <v>813.54</v>
      </c>
      <c r="X327" s="8">
        <v>756</v>
      </c>
      <c r="Y327" s="8">
        <v>727.86</v>
      </c>
      <c r="Z327" s="8">
        <v>659.82</v>
      </c>
    </row>
    <row r="328" spans="1:26" x14ac:dyDescent="0.25">
      <c r="A328" s="4">
        <v>41595</v>
      </c>
      <c r="B328" s="5">
        <f>SUM('2013 - 8760 Load'!_Day687)</f>
        <v>15963.78</v>
      </c>
      <c r="C328" s="8">
        <v>607.32000000000005</v>
      </c>
      <c r="D328" s="8">
        <v>558.17999999999995</v>
      </c>
      <c r="E328" s="8">
        <v>552.72</v>
      </c>
      <c r="F328" s="8">
        <v>546</v>
      </c>
      <c r="G328" s="8">
        <v>539.70000000000005</v>
      </c>
      <c r="H328" s="8">
        <v>564.9</v>
      </c>
      <c r="I328" s="8">
        <v>574.98</v>
      </c>
      <c r="J328" s="8">
        <v>625.38</v>
      </c>
      <c r="K328" s="8">
        <v>670.32</v>
      </c>
      <c r="L328" s="8">
        <v>701.82</v>
      </c>
      <c r="M328" s="8">
        <v>757.26</v>
      </c>
      <c r="N328" s="8">
        <v>748.44</v>
      </c>
      <c r="O328" s="8">
        <v>738.78</v>
      </c>
      <c r="P328" s="8">
        <v>699.72</v>
      </c>
      <c r="Q328" s="8">
        <v>675.36</v>
      </c>
      <c r="R328" s="8">
        <v>706.44</v>
      </c>
      <c r="S328" s="8">
        <v>752.64</v>
      </c>
      <c r="T328" s="8">
        <v>800.94</v>
      </c>
      <c r="U328" s="8">
        <v>815.22</v>
      </c>
      <c r="V328" s="8">
        <v>777.84</v>
      </c>
      <c r="W328" s="8">
        <v>727.44</v>
      </c>
      <c r="X328" s="8">
        <v>671.58</v>
      </c>
      <c r="Y328" s="8">
        <v>606.9</v>
      </c>
      <c r="Z328" s="8">
        <v>543.9</v>
      </c>
    </row>
    <row r="329" spans="1:26" x14ac:dyDescent="0.25">
      <c r="A329" s="4">
        <v>41596</v>
      </c>
      <c r="B329" s="5">
        <f>SUM('2013 - 8760 Load'!_Day688)</f>
        <v>13336.26</v>
      </c>
      <c r="C329" s="8">
        <v>495.18</v>
      </c>
      <c r="D329" s="8">
        <v>470.4</v>
      </c>
      <c r="E329" s="8">
        <v>451.92</v>
      </c>
      <c r="F329" s="8">
        <v>428.82</v>
      </c>
      <c r="G329" s="8">
        <v>425.04</v>
      </c>
      <c r="H329" s="8">
        <v>471.66</v>
      </c>
      <c r="I329" s="8">
        <v>542.64</v>
      </c>
      <c r="J329" s="8">
        <v>534.24</v>
      </c>
      <c r="K329" s="8">
        <v>538.02</v>
      </c>
      <c r="L329" s="8">
        <v>534.24</v>
      </c>
      <c r="M329" s="8">
        <v>545.16</v>
      </c>
      <c r="N329" s="8">
        <v>539.70000000000005</v>
      </c>
      <c r="O329" s="8">
        <v>515.34</v>
      </c>
      <c r="P329" s="8">
        <v>500.64</v>
      </c>
      <c r="Q329" s="8">
        <v>493.92</v>
      </c>
      <c r="R329" s="8">
        <v>503.58</v>
      </c>
      <c r="S329" s="8">
        <v>577.5</v>
      </c>
      <c r="T329" s="8">
        <v>721.98</v>
      </c>
      <c r="U329" s="8">
        <v>758.94</v>
      </c>
      <c r="V329" s="8">
        <v>737.94</v>
      </c>
      <c r="W329" s="8">
        <v>707.7</v>
      </c>
      <c r="X329" s="8">
        <v>672</v>
      </c>
      <c r="Y329" s="8">
        <v>617.82000000000005</v>
      </c>
      <c r="Z329" s="8">
        <v>551.88</v>
      </c>
    </row>
    <row r="330" spans="1:26" x14ac:dyDescent="0.25">
      <c r="A330" s="4">
        <v>41597</v>
      </c>
      <c r="B330" s="5">
        <f>SUM('2013 - 8760 Load'!_Day689)</f>
        <v>15948.659999999998</v>
      </c>
      <c r="C330" s="8">
        <v>516.17999999999995</v>
      </c>
      <c r="D330" s="8">
        <v>503.58</v>
      </c>
      <c r="E330" s="8">
        <v>502.74</v>
      </c>
      <c r="F330" s="8">
        <v>505.68</v>
      </c>
      <c r="G330" s="8">
        <v>520.38</v>
      </c>
      <c r="H330" s="8">
        <v>582.96</v>
      </c>
      <c r="I330" s="8">
        <v>655.62</v>
      </c>
      <c r="J330" s="8">
        <v>653.52</v>
      </c>
      <c r="K330" s="8">
        <v>649.32000000000005</v>
      </c>
      <c r="L330" s="8">
        <v>609.84</v>
      </c>
      <c r="M330" s="8">
        <v>637.98</v>
      </c>
      <c r="N330" s="8">
        <v>641.34</v>
      </c>
      <c r="O330" s="8">
        <v>635.88</v>
      </c>
      <c r="P330" s="8">
        <v>627.05999999999995</v>
      </c>
      <c r="Q330" s="8">
        <v>628.32000000000005</v>
      </c>
      <c r="R330" s="8">
        <v>651.41999999999996</v>
      </c>
      <c r="S330" s="8">
        <v>743.4</v>
      </c>
      <c r="T330" s="8">
        <v>861.84</v>
      </c>
      <c r="U330" s="8">
        <v>892.92</v>
      </c>
      <c r="V330" s="8">
        <v>863.52</v>
      </c>
      <c r="W330" s="8">
        <v>846.72</v>
      </c>
      <c r="X330" s="8">
        <v>804.72</v>
      </c>
      <c r="Y330" s="8">
        <v>723.66</v>
      </c>
      <c r="Z330" s="8">
        <v>690.06</v>
      </c>
    </row>
    <row r="331" spans="1:26" x14ac:dyDescent="0.25">
      <c r="A331" s="4">
        <v>41598</v>
      </c>
      <c r="B331" s="5">
        <f>SUM('2013 - 8760 Load'!_Day690)</f>
        <v>17017.98</v>
      </c>
      <c r="C331" s="8">
        <v>632.94000000000005</v>
      </c>
      <c r="D331" s="8">
        <v>608.58000000000004</v>
      </c>
      <c r="E331" s="8">
        <v>601.02</v>
      </c>
      <c r="F331" s="8">
        <v>601.44000000000005</v>
      </c>
      <c r="G331" s="8">
        <v>608.16</v>
      </c>
      <c r="H331" s="8">
        <v>682.5</v>
      </c>
      <c r="I331" s="8">
        <v>759.78</v>
      </c>
      <c r="J331" s="8">
        <v>723.24</v>
      </c>
      <c r="K331" s="8">
        <v>696.36</v>
      </c>
      <c r="L331" s="8">
        <v>662.34</v>
      </c>
      <c r="M331" s="8">
        <v>658.98</v>
      </c>
      <c r="N331" s="8">
        <v>651.41999999999996</v>
      </c>
      <c r="O331" s="8">
        <v>622.86</v>
      </c>
      <c r="P331" s="8">
        <v>640.91999999999996</v>
      </c>
      <c r="Q331" s="8">
        <v>653.1</v>
      </c>
      <c r="R331" s="8">
        <v>689.22</v>
      </c>
      <c r="S331" s="8">
        <v>738.78</v>
      </c>
      <c r="T331" s="8">
        <v>866.88</v>
      </c>
      <c r="U331" s="8">
        <v>870.66</v>
      </c>
      <c r="V331" s="8">
        <v>905.52</v>
      </c>
      <c r="W331" s="8">
        <v>853.44</v>
      </c>
      <c r="X331" s="8">
        <v>824.88</v>
      </c>
      <c r="Y331" s="8">
        <v>758.1</v>
      </c>
      <c r="Z331" s="8">
        <v>706.86</v>
      </c>
    </row>
    <row r="332" spans="1:26" x14ac:dyDescent="0.25">
      <c r="A332" s="4">
        <v>41599</v>
      </c>
      <c r="B332" s="5">
        <f>SUM('2013 - 8760 Load'!_Day691)</f>
        <v>17016.72</v>
      </c>
      <c r="C332" s="8">
        <v>637.55999999999995</v>
      </c>
      <c r="D332" s="8">
        <v>620.34</v>
      </c>
      <c r="E332" s="8">
        <v>627.9</v>
      </c>
      <c r="F332" s="8">
        <v>624.96</v>
      </c>
      <c r="G332" s="8">
        <v>641.76</v>
      </c>
      <c r="H332" s="8">
        <v>697.2</v>
      </c>
      <c r="I332" s="8">
        <v>770.28</v>
      </c>
      <c r="J332" s="8">
        <v>773.22</v>
      </c>
      <c r="K332" s="8">
        <v>729.96</v>
      </c>
      <c r="L332" s="8">
        <v>695.1</v>
      </c>
      <c r="M332" s="8">
        <v>689.64</v>
      </c>
      <c r="N332" s="8">
        <v>668.64</v>
      </c>
      <c r="O332" s="8">
        <v>661.08</v>
      </c>
      <c r="P332" s="8">
        <v>614.46</v>
      </c>
      <c r="Q332" s="8">
        <v>640.08000000000004</v>
      </c>
      <c r="R332" s="8">
        <v>670.32</v>
      </c>
      <c r="S332" s="8">
        <v>757.26</v>
      </c>
      <c r="T332" s="8">
        <v>850.92</v>
      </c>
      <c r="U332" s="8">
        <v>854.28</v>
      </c>
      <c r="V332" s="8">
        <v>845.88</v>
      </c>
      <c r="W332" s="8">
        <v>787.92</v>
      </c>
      <c r="X332" s="8">
        <v>786.66</v>
      </c>
      <c r="Y332" s="8">
        <v>712.74</v>
      </c>
      <c r="Z332" s="8">
        <v>658.56</v>
      </c>
    </row>
    <row r="333" spans="1:26" x14ac:dyDescent="0.25">
      <c r="A333" s="4">
        <v>41600</v>
      </c>
      <c r="B333" s="5">
        <f>SUM('2013 - 8760 Load'!_Day692)</f>
        <v>15484.139999999998</v>
      </c>
      <c r="C333" s="8">
        <v>599.76</v>
      </c>
      <c r="D333" s="8">
        <v>569.52</v>
      </c>
      <c r="E333" s="8">
        <v>545.16</v>
      </c>
      <c r="F333" s="8">
        <v>538.02</v>
      </c>
      <c r="G333" s="8">
        <v>540.12</v>
      </c>
      <c r="H333" s="8">
        <v>604.79999999999995</v>
      </c>
      <c r="I333" s="8">
        <v>658.56</v>
      </c>
      <c r="J333" s="8">
        <v>657.3</v>
      </c>
      <c r="K333" s="8">
        <v>630.84</v>
      </c>
      <c r="L333" s="8">
        <v>633.36</v>
      </c>
      <c r="M333" s="8">
        <v>665.7</v>
      </c>
      <c r="N333" s="8">
        <v>619.91999999999996</v>
      </c>
      <c r="O333" s="8">
        <v>601.86</v>
      </c>
      <c r="P333" s="8">
        <v>609.41999999999996</v>
      </c>
      <c r="Q333" s="8">
        <v>606.48</v>
      </c>
      <c r="R333" s="8">
        <v>623.70000000000005</v>
      </c>
      <c r="S333" s="8">
        <v>700.56</v>
      </c>
      <c r="T333" s="8">
        <v>814.38</v>
      </c>
      <c r="U333" s="8">
        <v>782.88</v>
      </c>
      <c r="V333" s="8">
        <v>745.5</v>
      </c>
      <c r="W333" s="8">
        <v>737.1</v>
      </c>
      <c r="X333" s="8">
        <v>707.28</v>
      </c>
      <c r="Y333" s="8">
        <v>664.86</v>
      </c>
      <c r="Z333" s="8">
        <v>627.05999999999995</v>
      </c>
    </row>
    <row r="334" spans="1:26" x14ac:dyDescent="0.25">
      <c r="A334" s="4">
        <v>41601</v>
      </c>
      <c r="B334" s="5">
        <f>SUM('2013 - 8760 Load'!_Day693)</f>
        <v>17579.519999999997</v>
      </c>
      <c r="C334" s="8">
        <v>569.1</v>
      </c>
      <c r="D334" s="8">
        <v>556.91999999999996</v>
      </c>
      <c r="E334" s="8">
        <v>545.16</v>
      </c>
      <c r="F334" s="8">
        <v>539.28</v>
      </c>
      <c r="G334" s="8">
        <v>556.08000000000004</v>
      </c>
      <c r="H334" s="8">
        <v>603.12</v>
      </c>
      <c r="I334" s="8">
        <v>638.4</v>
      </c>
      <c r="J334" s="8">
        <v>677.88</v>
      </c>
      <c r="K334" s="8">
        <v>729.54</v>
      </c>
      <c r="L334" s="8">
        <v>757.68</v>
      </c>
      <c r="M334" s="8">
        <v>776.16</v>
      </c>
      <c r="N334" s="8">
        <v>733.74</v>
      </c>
      <c r="O334" s="8">
        <v>722.4</v>
      </c>
      <c r="P334" s="8">
        <v>698.04</v>
      </c>
      <c r="Q334" s="8">
        <v>723.66</v>
      </c>
      <c r="R334" s="8">
        <v>775.32</v>
      </c>
      <c r="S334" s="8">
        <v>825.3</v>
      </c>
      <c r="T334" s="8">
        <v>920.22</v>
      </c>
      <c r="U334" s="8">
        <v>910.56</v>
      </c>
      <c r="V334" s="8">
        <v>925.26</v>
      </c>
      <c r="W334" s="8">
        <v>898.38</v>
      </c>
      <c r="X334" s="8">
        <v>885.36</v>
      </c>
      <c r="Y334" s="8">
        <v>834.12</v>
      </c>
      <c r="Z334" s="8">
        <v>777.84</v>
      </c>
    </row>
    <row r="335" spans="1:26" x14ac:dyDescent="0.25">
      <c r="A335" s="4">
        <v>41602</v>
      </c>
      <c r="B335" s="5">
        <f>SUM('2013 - 8760 Load'!_Day694)</f>
        <v>20596.379999999997</v>
      </c>
      <c r="C335" s="8">
        <v>708.12</v>
      </c>
      <c r="D335" s="8">
        <v>690.48</v>
      </c>
      <c r="E335" s="8">
        <v>697.62</v>
      </c>
      <c r="F335" s="8">
        <v>702.24</v>
      </c>
      <c r="G335" s="8">
        <v>708.96</v>
      </c>
      <c r="H335" s="8">
        <v>729.54</v>
      </c>
      <c r="I335" s="8">
        <v>775.74</v>
      </c>
      <c r="J335" s="8">
        <v>814.8</v>
      </c>
      <c r="K335" s="8">
        <v>878.22</v>
      </c>
      <c r="L335" s="8">
        <v>895.86</v>
      </c>
      <c r="M335" s="8">
        <v>934.08</v>
      </c>
      <c r="N335" s="8">
        <v>921.48</v>
      </c>
      <c r="O335" s="8">
        <v>876.96</v>
      </c>
      <c r="P335" s="8">
        <v>900.9</v>
      </c>
      <c r="Q335" s="8">
        <v>874.86</v>
      </c>
      <c r="R335" s="8">
        <v>923.58</v>
      </c>
      <c r="S335" s="8">
        <v>961.8</v>
      </c>
      <c r="T335" s="8">
        <v>1047.9000000000001</v>
      </c>
      <c r="U335" s="8">
        <v>1047.48</v>
      </c>
      <c r="V335" s="8">
        <v>981.96</v>
      </c>
      <c r="W335" s="8">
        <v>967.68</v>
      </c>
      <c r="X335" s="8">
        <v>921.48</v>
      </c>
      <c r="Y335" s="8">
        <v>847.98</v>
      </c>
      <c r="Z335" s="8">
        <v>786.66</v>
      </c>
    </row>
    <row r="336" spans="1:26" x14ac:dyDescent="0.25">
      <c r="A336" s="4">
        <v>41603</v>
      </c>
      <c r="B336" s="5">
        <f>SUM('2013 - 8760 Load'!_Day695)</f>
        <v>19013.819999999996</v>
      </c>
      <c r="C336" s="8">
        <v>748.02</v>
      </c>
      <c r="D336" s="8">
        <v>733.32</v>
      </c>
      <c r="E336" s="8">
        <v>708.96</v>
      </c>
      <c r="F336" s="8">
        <v>716.52</v>
      </c>
      <c r="G336" s="8">
        <v>728.7</v>
      </c>
      <c r="H336" s="8">
        <v>791.7</v>
      </c>
      <c r="I336" s="8">
        <v>866.88</v>
      </c>
      <c r="J336" s="8">
        <v>845.04</v>
      </c>
      <c r="K336" s="8">
        <v>834.96</v>
      </c>
      <c r="L336" s="8">
        <v>801.78</v>
      </c>
      <c r="M336" s="8">
        <v>795.06</v>
      </c>
      <c r="N336" s="8">
        <v>744.24</v>
      </c>
      <c r="O336" s="8">
        <v>720.3</v>
      </c>
      <c r="P336" s="8">
        <v>719.88</v>
      </c>
      <c r="Q336" s="8">
        <v>726.18</v>
      </c>
      <c r="R336" s="8">
        <v>719.04</v>
      </c>
      <c r="S336" s="8">
        <v>808.5</v>
      </c>
      <c r="T336" s="8">
        <v>902.58</v>
      </c>
      <c r="U336" s="8">
        <v>945.42</v>
      </c>
      <c r="V336" s="8">
        <v>922.32</v>
      </c>
      <c r="W336" s="8">
        <v>888.3</v>
      </c>
      <c r="X336" s="8">
        <v>842.94</v>
      </c>
      <c r="Y336" s="8">
        <v>784.14</v>
      </c>
      <c r="Z336" s="8">
        <v>719.04</v>
      </c>
    </row>
    <row r="337" spans="1:26" x14ac:dyDescent="0.25">
      <c r="A337" s="4">
        <v>41604</v>
      </c>
      <c r="B337" s="5">
        <f>SUM('2013 - 8760 Load'!_Day696)</f>
        <v>18416.999999999996</v>
      </c>
      <c r="C337" s="8">
        <v>662.76</v>
      </c>
      <c r="D337" s="8">
        <v>648.05999999999995</v>
      </c>
      <c r="E337" s="8">
        <v>637.55999999999995</v>
      </c>
      <c r="F337" s="8">
        <v>631.67999999999995</v>
      </c>
      <c r="G337" s="8">
        <v>651.84</v>
      </c>
      <c r="H337" s="8">
        <v>698.88</v>
      </c>
      <c r="I337" s="8">
        <v>751.8</v>
      </c>
      <c r="J337" s="8">
        <v>735.42</v>
      </c>
      <c r="K337" s="8">
        <v>732.9</v>
      </c>
      <c r="L337" s="8">
        <v>725.76</v>
      </c>
      <c r="M337" s="8">
        <v>739.62</v>
      </c>
      <c r="N337" s="8">
        <v>738.36</v>
      </c>
      <c r="O337" s="8">
        <v>734.16</v>
      </c>
      <c r="P337" s="8">
        <v>724.92</v>
      </c>
      <c r="Q337" s="8">
        <v>722.82</v>
      </c>
      <c r="R337" s="8">
        <v>756.84</v>
      </c>
      <c r="S337" s="8">
        <v>857.22</v>
      </c>
      <c r="T337" s="8">
        <v>973.56</v>
      </c>
      <c r="U337" s="8">
        <v>1001.7</v>
      </c>
      <c r="V337" s="8">
        <v>970.62</v>
      </c>
      <c r="W337" s="8">
        <v>913.5</v>
      </c>
      <c r="X337" s="8">
        <v>867.3</v>
      </c>
      <c r="Y337" s="8">
        <v>801.78</v>
      </c>
      <c r="Z337" s="8">
        <v>737.94</v>
      </c>
    </row>
    <row r="338" spans="1:26" x14ac:dyDescent="0.25">
      <c r="A338" s="4">
        <v>41605</v>
      </c>
      <c r="B338" s="5">
        <f>SUM('2013 - 8760 Load'!_Day697)</f>
        <v>19750.5</v>
      </c>
      <c r="C338" s="8">
        <v>684.18</v>
      </c>
      <c r="D338" s="8">
        <v>665.28</v>
      </c>
      <c r="E338" s="8">
        <v>648.48</v>
      </c>
      <c r="F338" s="8">
        <v>626.22</v>
      </c>
      <c r="G338" s="8">
        <v>613.62</v>
      </c>
      <c r="H338" s="8">
        <v>645.54</v>
      </c>
      <c r="I338" s="8">
        <v>676.2</v>
      </c>
      <c r="J338" s="8">
        <v>699.72</v>
      </c>
      <c r="K338" s="8">
        <v>714.42</v>
      </c>
      <c r="L338" s="8">
        <v>740.04</v>
      </c>
      <c r="M338" s="8">
        <v>777.84</v>
      </c>
      <c r="N338" s="8">
        <v>790.86</v>
      </c>
      <c r="O338" s="8">
        <v>862.26</v>
      </c>
      <c r="P338" s="8">
        <v>877.38</v>
      </c>
      <c r="Q338" s="8">
        <v>884.52</v>
      </c>
      <c r="R338" s="8">
        <v>897.12</v>
      </c>
      <c r="S338" s="8">
        <v>942.48</v>
      </c>
      <c r="T338" s="8">
        <v>1034.8800000000001</v>
      </c>
      <c r="U338" s="8">
        <v>1063.02</v>
      </c>
      <c r="V338" s="8">
        <v>1076.04</v>
      </c>
      <c r="W338" s="8">
        <v>1036.98</v>
      </c>
      <c r="X338" s="8">
        <v>1008</v>
      </c>
      <c r="Y338" s="8">
        <v>927.78</v>
      </c>
      <c r="Z338" s="8">
        <v>857.64</v>
      </c>
    </row>
    <row r="339" spans="1:26" x14ac:dyDescent="0.25">
      <c r="A339" s="4">
        <v>41606</v>
      </c>
      <c r="B339" s="5">
        <f>SUM('2013 - 8760 Load'!_Day698)</f>
        <v>22379.699999999997</v>
      </c>
      <c r="C339" s="8">
        <v>792.96</v>
      </c>
      <c r="D339" s="8">
        <v>749.7</v>
      </c>
      <c r="E339" s="8">
        <v>734.58</v>
      </c>
      <c r="F339" s="8">
        <v>711.48</v>
      </c>
      <c r="G339" s="8">
        <v>732.9</v>
      </c>
      <c r="H339" s="8">
        <v>764.4</v>
      </c>
      <c r="I339" s="8">
        <v>798.42</v>
      </c>
      <c r="J339" s="8">
        <v>870.24</v>
      </c>
      <c r="K339" s="8">
        <v>968.1</v>
      </c>
      <c r="L339" s="8">
        <v>1036.1400000000001</v>
      </c>
      <c r="M339" s="8">
        <v>1073.0999999999999</v>
      </c>
      <c r="N339" s="8">
        <v>1049.58</v>
      </c>
      <c r="O339" s="8">
        <v>1018.08</v>
      </c>
      <c r="P339" s="8">
        <v>1002.54</v>
      </c>
      <c r="Q339" s="8">
        <v>968.94</v>
      </c>
      <c r="R339" s="8">
        <v>946.26</v>
      </c>
      <c r="S339" s="8">
        <v>986.16</v>
      </c>
      <c r="T339" s="8">
        <v>1070.58</v>
      </c>
      <c r="U339" s="8">
        <v>1085.28</v>
      </c>
      <c r="V339" s="8">
        <v>1072.26</v>
      </c>
      <c r="W339" s="8">
        <v>1086.1199999999999</v>
      </c>
      <c r="X339" s="8">
        <v>1034.46</v>
      </c>
      <c r="Y339" s="8">
        <v>949.62</v>
      </c>
      <c r="Z339" s="8">
        <v>877.8</v>
      </c>
    </row>
    <row r="340" spans="1:26" x14ac:dyDescent="0.25">
      <c r="A340" s="4">
        <v>41607</v>
      </c>
      <c r="B340" s="5">
        <f>SUM('2013 - 8760 Load'!_Day699)</f>
        <v>22178.520000000004</v>
      </c>
      <c r="C340" s="8">
        <v>803.88</v>
      </c>
      <c r="D340" s="8">
        <v>782.46</v>
      </c>
      <c r="E340" s="8">
        <v>762.72</v>
      </c>
      <c r="F340" s="8">
        <v>746.34</v>
      </c>
      <c r="G340" s="8">
        <v>753.48</v>
      </c>
      <c r="H340" s="8">
        <v>786.24</v>
      </c>
      <c r="I340" s="8">
        <v>834.12</v>
      </c>
      <c r="J340" s="8">
        <v>850.08</v>
      </c>
      <c r="K340" s="8">
        <v>909.72</v>
      </c>
      <c r="L340" s="8">
        <v>924.42</v>
      </c>
      <c r="M340" s="8">
        <v>926.94</v>
      </c>
      <c r="N340" s="8">
        <v>913.92</v>
      </c>
      <c r="O340" s="8">
        <v>900.06</v>
      </c>
      <c r="P340" s="8">
        <v>874.02</v>
      </c>
      <c r="Q340" s="8">
        <v>889.98</v>
      </c>
      <c r="R340" s="8">
        <v>935.76</v>
      </c>
      <c r="S340" s="8">
        <v>1011.36</v>
      </c>
      <c r="T340" s="8">
        <v>1149.1199999999999</v>
      </c>
      <c r="U340" s="8">
        <v>1130.6400000000001</v>
      </c>
      <c r="V340" s="8">
        <v>1124.3399999999999</v>
      </c>
      <c r="W340" s="8">
        <v>1131.06</v>
      </c>
      <c r="X340" s="8">
        <v>1092.8399999999999</v>
      </c>
      <c r="Y340" s="8">
        <v>1013.88</v>
      </c>
      <c r="Z340" s="8">
        <v>931.14</v>
      </c>
    </row>
    <row r="341" spans="1:26" x14ac:dyDescent="0.25">
      <c r="A341" s="4">
        <v>41608</v>
      </c>
      <c r="B341" s="5">
        <f>SUM('2013 - 8760 Load'!_Day700)</f>
        <v>23158.38</v>
      </c>
      <c r="C341" s="8">
        <v>848.82</v>
      </c>
      <c r="D341" s="8">
        <v>818.16</v>
      </c>
      <c r="E341" s="8">
        <v>804.72</v>
      </c>
      <c r="F341" s="8">
        <v>803.46</v>
      </c>
      <c r="G341" s="8">
        <v>806.82</v>
      </c>
      <c r="H341" s="8">
        <v>845.04</v>
      </c>
      <c r="I341" s="8">
        <v>887.88</v>
      </c>
      <c r="J341" s="8">
        <v>949.2</v>
      </c>
      <c r="K341" s="8">
        <v>1040.76</v>
      </c>
      <c r="L341" s="8">
        <v>1059.24</v>
      </c>
      <c r="M341" s="8">
        <v>1045.3800000000001</v>
      </c>
      <c r="N341" s="8">
        <v>1029.42</v>
      </c>
      <c r="O341" s="8">
        <v>1000.02</v>
      </c>
      <c r="P341" s="8">
        <v>967.68</v>
      </c>
      <c r="Q341" s="8">
        <v>958.44</v>
      </c>
      <c r="R341" s="8">
        <v>959.28</v>
      </c>
      <c r="S341" s="8">
        <v>1026.48</v>
      </c>
      <c r="T341" s="8">
        <v>1126.02</v>
      </c>
      <c r="U341" s="8">
        <v>1147.02</v>
      </c>
      <c r="V341" s="8">
        <v>1124.76</v>
      </c>
      <c r="W341" s="8">
        <v>1068.06</v>
      </c>
      <c r="X341" s="8">
        <v>1029.8399999999999</v>
      </c>
      <c r="Y341" s="8">
        <v>950.04</v>
      </c>
      <c r="Z341" s="8">
        <v>861.84</v>
      </c>
    </row>
    <row r="342" spans="1:26" x14ac:dyDescent="0.25">
      <c r="A342" s="4">
        <v>41609</v>
      </c>
      <c r="B342" s="5">
        <f>SUM('2013 - 8760 Load'!_Day701)</f>
        <v>19977.3</v>
      </c>
      <c r="C342" s="8">
        <v>794.64</v>
      </c>
      <c r="D342" s="8">
        <v>774.9</v>
      </c>
      <c r="E342" s="8">
        <v>737.1</v>
      </c>
      <c r="F342" s="8">
        <v>719.88</v>
      </c>
      <c r="G342" s="8">
        <v>725.76</v>
      </c>
      <c r="H342" s="8">
        <v>758.1</v>
      </c>
      <c r="I342" s="8">
        <v>768.6</v>
      </c>
      <c r="J342" s="8">
        <v>834.96</v>
      </c>
      <c r="K342" s="8">
        <v>912.24</v>
      </c>
      <c r="L342" s="8">
        <v>951.72</v>
      </c>
      <c r="M342" s="8">
        <v>929.46</v>
      </c>
      <c r="N342" s="8">
        <v>904.68</v>
      </c>
      <c r="O342" s="8">
        <v>879.06</v>
      </c>
      <c r="P342" s="8">
        <v>805.14</v>
      </c>
      <c r="Q342" s="8">
        <v>820.68</v>
      </c>
      <c r="R342" s="8">
        <v>820.68</v>
      </c>
      <c r="S342" s="8">
        <v>890.4</v>
      </c>
      <c r="T342" s="8">
        <v>929.88</v>
      </c>
      <c r="U342" s="8">
        <v>937.02</v>
      </c>
      <c r="V342" s="8">
        <v>918.12</v>
      </c>
      <c r="W342" s="8">
        <v>889.98</v>
      </c>
      <c r="X342" s="8">
        <v>821.52</v>
      </c>
      <c r="Y342" s="8">
        <v>760.62</v>
      </c>
      <c r="Z342" s="8">
        <v>692.16</v>
      </c>
    </row>
    <row r="343" spans="1:26" x14ac:dyDescent="0.25">
      <c r="A343" s="4">
        <v>41610</v>
      </c>
      <c r="B343" s="5">
        <f>SUM('2013 - 8760 Load'!_Day702)</f>
        <v>17148.180000000004</v>
      </c>
      <c r="C343" s="8">
        <v>640.08000000000004</v>
      </c>
      <c r="D343" s="8">
        <v>608.58000000000004</v>
      </c>
      <c r="E343" s="8">
        <v>607.74</v>
      </c>
      <c r="F343" s="8">
        <v>603.96</v>
      </c>
      <c r="G343" s="8">
        <v>614.46</v>
      </c>
      <c r="H343" s="8">
        <v>682.92</v>
      </c>
      <c r="I343" s="8">
        <v>722.82</v>
      </c>
      <c r="J343" s="8">
        <v>721.14</v>
      </c>
      <c r="K343" s="8">
        <v>720.3</v>
      </c>
      <c r="L343" s="8">
        <v>692.16</v>
      </c>
      <c r="M343" s="8">
        <v>705.18</v>
      </c>
      <c r="N343" s="8">
        <v>706.86</v>
      </c>
      <c r="O343" s="8">
        <v>682.08</v>
      </c>
      <c r="P343" s="8">
        <v>652.26</v>
      </c>
      <c r="Q343" s="8">
        <v>639.66</v>
      </c>
      <c r="R343" s="8">
        <v>680.4</v>
      </c>
      <c r="S343" s="8">
        <v>758.1</v>
      </c>
      <c r="T343" s="8">
        <v>852.6</v>
      </c>
      <c r="U343" s="8">
        <v>873.18</v>
      </c>
      <c r="V343" s="8">
        <v>880.74</v>
      </c>
      <c r="W343" s="8">
        <v>834.54</v>
      </c>
      <c r="X343" s="8">
        <v>815.22</v>
      </c>
      <c r="Y343" s="8">
        <v>751.8</v>
      </c>
      <c r="Z343" s="8">
        <v>701.4</v>
      </c>
    </row>
    <row r="344" spans="1:26" x14ac:dyDescent="0.25">
      <c r="A344" s="4">
        <v>41611</v>
      </c>
      <c r="B344" s="5">
        <f>SUM('2013 - 8760 Load'!_Day703)</f>
        <v>16879.379999999997</v>
      </c>
      <c r="C344" s="8">
        <v>644.70000000000005</v>
      </c>
      <c r="D344" s="8">
        <v>642.6</v>
      </c>
      <c r="E344" s="8">
        <v>597.24</v>
      </c>
      <c r="F344" s="8">
        <v>597.66</v>
      </c>
      <c r="G344" s="8">
        <v>631.67999999999995</v>
      </c>
      <c r="H344" s="8">
        <v>664.02</v>
      </c>
      <c r="I344" s="8">
        <v>739.62</v>
      </c>
      <c r="J344" s="8">
        <v>724.92</v>
      </c>
      <c r="K344" s="8">
        <v>682.08</v>
      </c>
      <c r="L344" s="8">
        <v>679.56</v>
      </c>
      <c r="M344" s="8">
        <v>671.58</v>
      </c>
      <c r="N344" s="8">
        <v>643.02</v>
      </c>
      <c r="O344" s="8">
        <v>626.64</v>
      </c>
      <c r="P344" s="8">
        <v>635.46</v>
      </c>
      <c r="Q344" s="8">
        <v>629.16</v>
      </c>
      <c r="R344" s="8">
        <v>618.24</v>
      </c>
      <c r="S344" s="8">
        <v>712.74</v>
      </c>
      <c r="T344" s="8">
        <v>857.64</v>
      </c>
      <c r="U344" s="8">
        <v>856.38</v>
      </c>
      <c r="V344" s="8">
        <v>884.94</v>
      </c>
      <c r="W344" s="8">
        <v>859.32</v>
      </c>
      <c r="X344" s="8">
        <v>830.76</v>
      </c>
      <c r="Y344" s="8">
        <v>760.2</v>
      </c>
      <c r="Z344" s="8">
        <v>689.22</v>
      </c>
    </row>
    <row r="345" spans="1:26" x14ac:dyDescent="0.25">
      <c r="A345" s="4">
        <v>41612</v>
      </c>
      <c r="B345" s="5">
        <f>SUM('2013 - 8760 Load'!_Day704)</f>
        <v>16414.86</v>
      </c>
      <c r="C345" s="8">
        <v>646.79999999999995</v>
      </c>
      <c r="D345" s="8">
        <v>616.55999999999995</v>
      </c>
      <c r="E345" s="8">
        <v>607.74</v>
      </c>
      <c r="F345" s="8">
        <v>600.6</v>
      </c>
      <c r="G345" s="8">
        <v>606.05999999999995</v>
      </c>
      <c r="H345" s="8">
        <v>656.04</v>
      </c>
      <c r="I345" s="8">
        <v>716.94</v>
      </c>
      <c r="J345" s="8">
        <v>708.96</v>
      </c>
      <c r="K345" s="8">
        <v>684.6</v>
      </c>
      <c r="L345" s="8">
        <v>630</v>
      </c>
      <c r="M345" s="8">
        <v>659.4</v>
      </c>
      <c r="N345" s="8">
        <v>639.24</v>
      </c>
      <c r="O345" s="8">
        <v>603.12</v>
      </c>
      <c r="P345" s="8">
        <v>593.88</v>
      </c>
      <c r="Q345" s="8">
        <v>605.22</v>
      </c>
      <c r="R345" s="8">
        <v>635.88</v>
      </c>
      <c r="S345" s="8">
        <v>726.6</v>
      </c>
      <c r="T345" s="8">
        <v>844.62</v>
      </c>
      <c r="U345" s="8">
        <v>850.08</v>
      </c>
      <c r="V345" s="8">
        <v>849.24</v>
      </c>
      <c r="W345" s="8">
        <v>797.58</v>
      </c>
      <c r="X345" s="8">
        <v>769.02</v>
      </c>
      <c r="Y345" s="8">
        <v>717.78</v>
      </c>
      <c r="Z345" s="8">
        <v>648.9</v>
      </c>
    </row>
    <row r="346" spans="1:26" x14ac:dyDescent="0.25">
      <c r="A346" s="4">
        <v>41613</v>
      </c>
      <c r="B346" s="5">
        <f>SUM('2013 - 8760 Load'!_Day705)</f>
        <v>15458.94</v>
      </c>
      <c r="C346" s="8">
        <v>595.55999999999995</v>
      </c>
      <c r="D346" s="8">
        <v>569.1</v>
      </c>
      <c r="E346" s="8">
        <v>558.6</v>
      </c>
      <c r="F346" s="8">
        <v>553.14</v>
      </c>
      <c r="G346" s="8">
        <v>547.67999999999995</v>
      </c>
      <c r="H346" s="8">
        <v>596.82000000000005</v>
      </c>
      <c r="I346" s="8">
        <v>673.26</v>
      </c>
      <c r="J346" s="8">
        <v>643.02</v>
      </c>
      <c r="K346" s="8">
        <v>630</v>
      </c>
      <c r="L346" s="8">
        <v>609</v>
      </c>
      <c r="M346" s="8">
        <v>621.6</v>
      </c>
      <c r="N346" s="8">
        <v>631.26</v>
      </c>
      <c r="O346" s="8">
        <v>640.08000000000004</v>
      </c>
      <c r="P346" s="8">
        <v>625.79999999999995</v>
      </c>
      <c r="Q346" s="8">
        <v>644.28</v>
      </c>
      <c r="R346" s="8">
        <v>640.91999999999996</v>
      </c>
      <c r="S346" s="8">
        <v>677.46</v>
      </c>
      <c r="T346" s="8">
        <v>774.9</v>
      </c>
      <c r="U346" s="8">
        <v>793.8</v>
      </c>
      <c r="V346" s="8">
        <v>780.36</v>
      </c>
      <c r="W346" s="8">
        <v>731.64</v>
      </c>
      <c r="X346" s="8">
        <v>682.92</v>
      </c>
      <c r="Y346" s="8">
        <v>650.58000000000004</v>
      </c>
      <c r="Z346" s="8">
        <v>587.16</v>
      </c>
    </row>
    <row r="347" spans="1:26" x14ac:dyDescent="0.25">
      <c r="A347" s="4">
        <v>41614</v>
      </c>
      <c r="B347" s="5">
        <f>SUM('2013 - 8760 Load'!_Day706)</f>
        <v>15713.88</v>
      </c>
      <c r="C347" s="8">
        <v>527.94000000000005</v>
      </c>
      <c r="D347" s="8">
        <v>489.72</v>
      </c>
      <c r="E347" s="8">
        <v>478.8</v>
      </c>
      <c r="F347" s="8">
        <v>471.66</v>
      </c>
      <c r="G347" s="8">
        <v>495.18</v>
      </c>
      <c r="H347" s="8">
        <v>534.24</v>
      </c>
      <c r="I347" s="8">
        <v>614.46</v>
      </c>
      <c r="J347" s="8">
        <v>617.82000000000005</v>
      </c>
      <c r="K347" s="8">
        <v>599.76</v>
      </c>
      <c r="L347" s="8">
        <v>621.17999999999995</v>
      </c>
      <c r="M347" s="8">
        <v>623.28</v>
      </c>
      <c r="N347" s="8">
        <v>649.74</v>
      </c>
      <c r="O347" s="8">
        <v>623.28</v>
      </c>
      <c r="P347" s="8">
        <v>596.4</v>
      </c>
      <c r="Q347" s="8">
        <v>637.14</v>
      </c>
      <c r="R347" s="8">
        <v>666.96</v>
      </c>
      <c r="S347" s="8">
        <v>789.18</v>
      </c>
      <c r="T347" s="8">
        <v>868.14</v>
      </c>
      <c r="U347" s="8">
        <v>880.74</v>
      </c>
      <c r="V347" s="8">
        <v>845.46</v>
      </c>
      <c r="W347" s="8">
        <v>842.1</v>
      </c>
      <c r="X347" s="8">
        <v>777</v>
      </c>
      <c r="Y347" s="8">
        <v>760.2</v>
      </c>
      <c r="Z347" s="8">
        <v>703.5</v>
      </c>
    </row>
    <row r="348" spans="1:26" x14ac:dyDescent="0.25">
      <c r="A348" s="4">
        <v>41615</v>
      </c>
      <c r="B348" s="5">
        <f>SUM('2013 - 8760 Load'!_Day707)</f>
        <v>18583.740000000002</v>
      </c>
      <c r="C348" s="8">
        <v>658.98</v>
      </c>
      <c r="D348" s="8">
        <v>629.16</v>
      </c>
      <c r="E348" s="8">
        <v>615.29999999999995</v>
      </c>
      <c r="F348" s="8">
        <v>608.16</v>
      </c>
      <c r="G348" s="8">
        <v>619.5</v>
      </c>
      <c r="H348" s="8">
        <v>632.52</v>
      </c>
      <c r="I348" s="8">
        <v>667.38</v>
      </c>
      <c r="J348" s="8">
        <v>699.3</v>
      </c>
      <c r="K348" s="8">
        <v>757.68</v>
      </c>
      <c r="L348" s="8">
        <v>798.84</v>
      </c>
      <c r="M348" s="8">
        <v>813.96</v>
      </c>
      <c r="N348" s="8">
        <v>785.4</v>
      </c>
      <c r="O348" s="8">
        <v>769.86</v>
      </c>
      <c r="P348" s="8">
        <v>745.5</v>
      </c>
      <c r="Q348" s="8">
        <v>758.52</v>
      </c>
      <c r="R348" s="8">
        <v>765.24</v>
      </c>
      <c r="S348" s="8">
        <v>865.2</v>
      </c>
      <c r="T348" s="8">
        <v>969.36</v>
      </c>
      <c r="U348" s="8">
        <v>964.32</v>
      </c>
      <c r="V348" s="8">
        <v>933.66</v>
      </c>
      <c r="W348" s="8">
        <v>930.72</v>
      </c>
      <c r="X348" s="8">
        <v>912.24</v>
      </c>
      <c r="Y348" s="8">
        <v>864.78</v>
      </c>
      <c r="Z348" s="8">
        <v>818.16</v>
      </c>
    </row>
    <row r="349" spans="1:26" x14ac:dyDescent="0.25">
      <c r="A349" s="4">
        <v>41616</v>
      </c>
      <c r="B349" s="5">
        <f>SUM('2013 - 8760 Load'!_Day708)</f>
        <v>20373.360000000004</v>
      </c>
      <c r="C349" s="8">
        <v>767.34</v>
      </c>
      <c r="D349" s="8">
        <v>728.7</v>
      </c>
      <c r="E349" s="8">
        <v>701.4</v>
      </c>
      <c r="F349" s="8">
        <v>703.5</v>
      </c>
      <c r="G349" s="8">
        <v>703.08</v>
      </c>
      <c r="H349" s="8">
        <v>715.68</v>
      </c>
      <c r="I349" s="8">
        <v>748.86</v>
      </c>
      <c r="J349" s="8">
        <v>798</v>
      </c>
      <c r="K349" s="8">
        <v>856.8</v>
      </c>
      <c r="L349" s="8">
        <v>886.62</v>
      </c>
      <c r="M349" s="8">
        <v>865.2</v>
      </c>
      <c r="N349" s="8">
        <v>894.6</v>
      </c>
      <c r="O349" s="8">
        <v>904.68</v>
      </c>
      <c r="P349" s="8">
        <v>861.42</v>
      </c>
      <c r="Q349" s="8">
        <v>864.36</v>
      </c>
      <c r="R349" s="8">
        <v>874.44</v>
      </c>
      <c r="S349" s="8">
        <v>958.02</v>
      </c>
      <c r="T349" s="8">
        <v>1028.1600000000001</v>
      </c>
      <c r="U349" s="8">
        <v>1045.3800000000001</v>
      </c>
      <c r="V349" s="8">
        <v>998.34</v>
      </c>
      <c r="W349" s="8">
        <v>976.08</v>
      </c>
      <c r="X349" s="8">
        <v>911.4</v>
      </c>
      <c r="Y349" s="8">
        <v>813.96</v>
      </c>
      <c r="Z349" s="8">
        <v>767.34</v>
      </c>
    </row>
    <row r="350" spans="1:26" x14ac:dyDescent="0.25">
      <c r="A350" s="4">
        <v>41617</v>
      </c>
      <c r="B350" s="5">
        <f>SUM('2013 - 8760 Load'!_Day709)</f>
        <v>18964.679999999993</v>
      </c>
      <c r="C350" s="8">
        <v>711.48</v>
      </c>
      <c r="D350" s="8">
        <v>687.96</v>
      </c>
      <c r="E350" s="8">
        <v>668.22</v>
      </c>
      <c r="F350" s="8">
        <v>658.56</v>
      </c>
      <c r="G350" s="8">
        <v>673.26</v>
      </c>
      <c r="H350" s="8">
        <v>707.7</v>
      </c>
      <c r="I350" s="8">
        <v>740.88</v>
      </c>
      <c r="J350" s="8">
        <v>780.78</v>
      </c>
      <c r="K350" s="8">
        <v>790.44</v>
      </c>
      <c r="L350" s="8">
        <v>813.12</v>
      </c>
      <c r="M350" s="8">
        <v>824.88</v>
      </c>
      <c r="N350" s="8">
        <v>807.24</v>
      </c>
      <c r="O350" s="8">
        <v>798</v>
      </c>
      <c r="P350" s="8">
        <v>767.34</v>
      </c>
      <c r="Q350" s="8">
        <v>766.5</v>
      </c>
      <c r="R350" s="8">
        <v>795.48</v>
      </c>
      <c r="S350" s="8">
        <v>853.44</v>
      </c>
      <c r="T350" s="8">
        <v>977.34</v>
      </c>
      <c r="U350" s="8">
        <v>950.46</v>
      </c>
      <c r="V350" s="8">
        <v>945.84</v>
      </c>
      <c r="W350" s="8">
        <v>918.12</v>
      </c>
      <c r="X350" s="8">
        <v>830.76</v>
      </c>
      <c r="Y350" s="8">
        <v>777.42</v>
      </c>
      <c r="Z350" s="8">
        <v>719.46</v>
      </c>
    </row>
    <row r="351" spans="1:26" x14ac:dyDescent="0.25">
      <c r="A351" s="4">
        <v>41618</v>
      </c>
      <c r="B351" s="5">
        <f>SUM('2013 - 8760 Load'!_Day710)</f>
        <v>18696.719999999998</v>
      </c>
      <c r="C351" s="8">
        <v>670.74</v>
      </c>
      <c r="D351" s="8">
        <v>642.6</v>
      </c>
      <c r="E351" s="8">
        <v>618.24</v>
      </c>
      <c r="F351" s="8">
        <v>616.14</v>
      </c>
      <c r="G351" s="8">
        <v>628.32000000000005</v>
      </c>
      <c r="H351" s="8">
        <v>673.26</v>
      </c>
      <c r="I351" s="8">
        <v>739.62</v>
      </c>
      <c r="J351" s="8">
        <v>753.06</v>
      </c>
      <c r="K351" s="8">
        <v>732.48</v>
      </c>
      <c r="L351" s="8">
        <v>716.1</v>
      </c>
      <c r="M351" s="8">
        <v>751.8</v>
      </c>
      <c r="N351" s="8">
        <v>769.02</v>
      </c>
      <c r="O351" s="8">
        <v>771.54</v>
      </c>
      <c r="P351" s="8">
        <v>763.14</v>
      </c>
      <c r="Q351" s="8">
        <v>741.72</v>
      </c>
      <c r="R351" s="8">
        <v>757.26</v>
      </c>
      <c r="S351" s="8">
        <v>837.48</v>
      </c>
      <c r="T351" s="8">
        <v>973.56</v>
      </c>
      <c r="U351" s="8">
        <v>994.14</v>
      </c>
      <c r="V351" s="8">
        <v>1002.12</v>
      </c>
      <c r="W351" s="8">
        <v>981.96</v>
      </c>
      <c r="X351" s="8">
        <v>912.66</v>
      </c>
      <c r="Y351" s="8">
        <v>860.58</v>
      </c>
      <c r="Z351" s="8">
        <v>789.18</v>
      </c>
    </row>
    <row r="352" spans="1:26" x14ac:dyDescent="0.25">
      <c r="A352" s="4">
        <v>41619</v>
      </c>
      <c r="B352" s="5">
        <f>SUM('2013 - 8760 Load'!_Day711)</f>
        <v>19993.260000000002</v>
      </c>
      <c r="C352" s="8">
        <v>742.14</v>
      </c>
      <c r="D352" s="8">
        <v>735</v>
      </c>
      <c r="E352" s="8">
        <v>703.08</v>
      </c>
      <c r="F352" s="8">
        <v>705.18</v>
      </c>
      <c r="G352" s="8">
        <v>710.64</v>
      </c>
      <c r="H352" s="8">
        <v>782.46</v>
      </c>
      <c r="I352" s="8">
        <v>847.98</v>
      </c>
      <c r="J352" s="8">
        <v>833.28</v>
      </c>
      <c r="K352" s="8">
        <v>808.92</v>
      </c>
      <c r="L352" s="8">
        <v>783.72</v>
      </c>
      <c r="M352" s="8">
        <v>790.86</v>
      </c>
      <c r="N352" s="8">
        <v>795.06</v>
      </c>
      <c r="O352" s="8">
        <v>796.74</v>
      </c>
      <c r="P352" s="8">
        <v>783.3</v>
      </c>
      <c r="Q352" s="8">
        <v>776.16</v>
      </c>
      <c r="R352" s="8">
        <v>781.62</v>
      </c>
      <c r="S352" s="8">
        <v>861.42</v>
      </c>
      <c r="T352" s="8">
        <v>1022.28</v>
      </c>
      <c r="U352" s="8">
        <v>1034.8800000000001</v>
      </c>
      <c r="V352" s="8">
        <v>1021.02</v>
      </c>
      <c r="W352" s="8">
        <v>1022.28</v>
      </c>
      <c r="X352" s="8">
        <v>963.06</v>
      </c>
      <c r="Y352" s="8">
        <v>881.16</v>
      </c>
      <c r="Z352" s="8">
        <v>811.02</v>
      </c>
    </row>
    <row r="353" spans="1:26" x14ac:dyDescent="0.25">
      <c r="A353" s="4">
        <v>41620</v>
      </c>
      <c r="B353" s="5">
        <f>SUM('2013 - 8760 Load'!_Day712)</f>
        <v>21071.82</v>
      </c>
      <c r="C353" s="8">
        <v>759.78</v>
      </c>
      <c r="D353" s="8">
        <v>748.02</v>
      </c>
      <c r="E353" s="8">
        <v>730.8</v>
      </c>
      <c r="F353" s="8">
        <v>748.86</v>
      </c>
      <c r="G353" s="8">
        <v>747.18</v>
      </c>
      <c r="H353" s="8">
        <v>815.22</v>
      </c>
      <c r="I353" s="8">
        <v>905.52</v>
      </c>
      <c r="J353" s="8">
        <v>882.84</v>
      </c>
      <c r="K353" s="8">
        <v>842.52</v>
      </c>
      <c r="L353" s="8">
        <v>836.64</v>
      </c>
      <c r="M353" s="8">
        <v>841.26</v>
      </c>
      <c r="N353" s="8">
        <v>839.58</v>
      </c>
      <c r="O353" s="8">
        <v>828.24</v>
      </c>
      <c r="P353" s="8">
        <v>816.06</v>
      </c>
      <c r="Q353" s="8">
        <v>803.88</v>
      </c>
      <c r="R353" s="8">
        <v>822.36</v>
      </c>
      <c r="S353" s="8">
        <v>912.66</v>
      </c>
      <c r="T353" s="8">
        <v>1084.02</v>
      </c>
      <c r="U353" s="8">
        <v>1100.4000000000001</v>
      </c>
      <c r="V353" s="8">
        <v>1068.48</v>
      </c>
      <c r="W353" s="8">
        <v>1063.44</v>
      </c>
      <c r="X353" s="8">
        <v>1005.06</v>
      </c>
      <c r="Y353" s="8">
        <v>981.12</v>
      </c>
      <c r="Z353" s="8">
        <v>887.88</v>
      </c>
    </row>
    <row r="354" spans="1:26" x14ac:dyDescent="0.25">
      <c r="A354" s="4">
        <v>41621</v>
      </c>
      <c r="B354" s="5">
        <f>SUM('2013 - 8760 Load'!_Day713)</f>
        <v>20605.2</v>
      </c>
      <c r="C354" s="8">
        <v>840.42</v>
      </c>
      <c r="D354" s="8">
        <v>807.24</v>
      </c>
      <c r="E354" s="8">
        <v>786.24</v>
      </c>
      <c r="F354" s="8">
        <v>771.96</v>
      </c>
      <c r="G354" s="8">
        <v>780.78</v>
      </c>
      <c r="H354" s="8">
        <v>829.5</v>
      </c>
      <c r="I354" s="8">
        <v>903.84</v>
      </c>
      <c r="J354" s="8">
        <v>866.46</v>
      </c>
      <c r="K354" s="8">
        <v>841.26</v>
      </c>
      <c r="L354" s="8">
        <v>849.24</v>
      </c>
      <c r="M354" s="8">
        <v>833.28</v>
      </c>
      <c r="N354" s="8">
        <v>808.5</v>
      </c>
      <c r="O354" s="8">
        <v>810.18</v>
      </c>
      <c r="P354" s="8">
        <v>810.18</v>
      </c>
      <c r="Q354" s="8">
        <v>804.3</v>
      </c>
      <c r="R354" s="8">
        <v>824.88</v>
      </c>
      <c r="S354" s="8">
        <v>892.08</v>
      </c>
      <c r="T354" s="8">
        <v>1017.66</v>
      </c>
      <c r="U354" s="8">
        <v>987</v>
      </c>
      <c r="V354" s="8">
        <v>966.84</v>
      </c>
      <c r="W354" s="8">
        <v>940.38</v>
      </c>
      <c r="X354" s="8">
        <v>928.62</v>
      </c>
      <c r="Y354" s="8">
        <v>878.22</v>
      </c>
      <c r="Z354" s="8">
        <v>826.14</v>
      </c>
    </row>
    <row r="355" spans="1:26" x14ac:dyDescent="0.25">
      <c r="A355" s="4">
        <v>41622</v>
      </c>
      <c r="B355" s="5">
        <f>SUM('2013 - 8760 Load'!_Day714)</f>
        <v>22497.299999999996</v>
      </c>
      <c r="C355" s="8">
        <v>768.18</v>
      </c>
      <c r="D355" s="8">
        <v>761.46</v>
      </c>
      <c r="E355" s="8">
        <v>720.3</v>
      </c>
      <c r="F355" s="8">
        <v>710.22</v>
      </c>
      <c r="G355" s="8">
        <v>720.3</v>
      </c>
      <c r="H355" s="8">
        <v>737.94</v>
      </c>
      <c r="I355" s="8">
        <v>774.9</v>
      </c>
      <c r="J355" s="8">
        <v>825.3</v>
      </c>
      <c r="K355" s="8">
        <v>897.96</v>
      </c>
      <c r="L355" s="8">
        <v>942.06</v>
      </c>
      <c r="M355" s="8">
        <v>974.82</v>
      </c>
      <c r="N355" s="8">
        <v>952.14</v>
      </c>
      <c r="O355" s="8">
        <v>987.84</v>
      </c>
      <c r="P355" s="8">
        <v>1003.8</v>
      </c>
      <c r="Q355" s="8">
        <v>1000.86</v>
      </c>
      <c r="R355" s="8">
        <v>1036.98</v>
      </c>
      <c r="S355" s="8">
        <v>1128.1199999999999</v>
      </c>
      <c r="T355" s="8">
        <v>1212.1199999999999</v>
      </c>
      <c r="U355" s="8">
        <v>1207.92</v>
      </c>
      <c r="V355" s="8">
        <v>1147.44</v>
      </c>
      <c r="W355" s="8">
        <v>1099.56</v>
      </c>
      <c r="X355" s="8">
        <v>1047.9000000000001</v>
      </c>
      <c r="Y355" s="8">
        <v>970.62</v>
      </c>
      <c r="Z355" s="8">
        <v>868.56</v>
      </c>
    </row>
    <row r="356" spans="1:26" x14ac:dyDescent="0.25">
      <c r="A356" s="4">
        <v>41623</v>
      </c>
      <c r="B356" s="5">
        <f>SUM('2013 - 8760 Load'!_Day715)</f>
        <v>20887.02</v>
      </c>
      <c r="C356" s="8">
        <v>793.38</v>
      </c>
      <c r="D356" s="8">
        <v>775.32</v>
      </c>
      <c r="E356" s="8">
        <v>762.3</v>
      </c>
      <c r="F356" s="8">
        <v>742.56</v>
      </c>
      <c r="G356" s="8">
        <v>733.74</v>
      </c>
      <c r="H356" s="8">
        <v>723.24</v>
      </c>
      <c r="I356" s="8">
        <v>764.82</v>
      </c>
      <c r="J356" s="8">
        <v>808.08</v>
      </c>
      <c r="K356" s="8">
        <v>856.38</v>
      </c>
      <c r="L356" s="8">
        <v>882</v>
      </c>
      <c r="M356" s="8">
        <v>909.72</v>
      </c>
      <c r="N356" s="8">
        <v>938.28</v>
      </c>
      <c r="O356" s="8">
        <v>945.84</v>
      </c>
      <c r="P356" s="8">
        <v>926.52</v>
      </c>
      <c r="Q356" s="8">
        <v>900.06</v>
      </c>
      <c r="R356" s="8">
        <v>888.3</v>
      </c>
      <c r="S356" s="8">
        <v>929.46</v>
      </c>
      <c r="T356" s="8">
        <v>1031.52</v>
      </c>
      <c r="U356" s="8">
        <v>1024.8</v>
      </c>
      <c r="V356" s="8">
        <v>1013.88</v>
      </c>
      <c r="W356" s="8">
        <v>977.34</v>
      </c>
      <c r="X356" s="8">
        <v>924.42</v>
      </c>
      <c r="Y356" s="8">
        <v>848.82</v>
      </c>
      <c r="Z356" s="8">
        <v>786.24</v>
      </c>
    </row>
    <row r="357" spans="1:26" x14ac:dyDescent="0.25">
      <c r="A357" s="4">
        <v>41624</v>
      </c>
      <c r="B357" s="5">
        <f>SUM('2013 - 8760 Load'!_Day716)</f>
        <v>20020.980000000003</v>
      </c>
      <c r="C357" s="8">
        <v>725.76</v>
      </c>
      <c r="D357" s="8">
        <v>713.16</v>
      </c>
      <c r="E357" s="8">
        <v>702.24</v>
      </c>
      <c r="F357" s="8">
        <v>708.96</v>
      </c>
      <c r="G357" s="8">
        <v>700.14</v>
      </c>
      <c r="H357" s="8">
        <v>759.36</v>
      </c>
      <c r="I357" s="8">
        <v>842.52</v>
      </c>
      <c r="J357" s="8">
        <v>819.42</v>
      </c>
      <c r="K357" s="8">
        <v>795.9</v>
      </c>
      <c r="L357" s="8">
        <v>764.82</v>
      </c>
      <c r="M357" s="8">
        <v>789.18</v>
      </c>
      <c r="N357" s="8">
        <v>787.08</v>
      </c>
      <c r="O357" s="8">
        <v>787.08</v>
      </c>
      <c r="P357" s="8">
        <v>790.02</v>
      </c>
      <c r="Q357" s="8">
        <v>794.64</v>
      </c>
      <c r="R357" s="8">
        <v>796.74</v>
      </c>
      <c r="S357" s="8">
        <v>879.48</v>
      </c>
      <c r="T357" s="8">
        <v>1002.12</v>
      </c>
      <c r="U357" s="8">
        <v>1055.04</v>
      </c>
      <c r="V357" s="8">
        <v>1023.12</v>
      </c>
      <c r="W357" s="8">
        <v>1013.46</v>
      </c>
      <c r="X357" s="8">
        <v>1002.12</v>
      </c>
      <c r="Y357" s="8">
        <v>922.74</v>
      </c>
      <c r="Z357" s="8">
        <v>845.88</v>
      </c>
    </row>
    <row r="358" spans="1:26" x14ac:dyDescent="0.25">
      <c r="A358" s="4">
        <v>41625</v>
      </c>
      <c r="B358" s="5">
        <f>SUM('2013 - 8760 Load'!_Day717)</f>
        <v>21832.44</v>
      </c>
      <c r="C358" s="8">
        <v>812.28</v>
      </c>
      <c r="D358" s="8">
        <v>799.68</v>
      </c>
      <c r="E358" s="8">
        <v>786.66</v>
      </c>
      <c r="F358" s="8">
        <v>784.56</v>
      </c>
      <c r="G358" s="8">
        <v>782.88</v>
      </c>
      <c r="H358" s="8">
        <v>830.76</v>
      </c>
      <c r="I358" s="8">
        <v>884.94</v>
      </c>
      <c r="J358" s="8">
        <v>903.84</v>
      </c>
      <c r="K358" s="8">
        <v>908.46</v>
      </c>
      <c r="L358" s="8">
        <v>900.9</v>
      </c>
      <c r="M358" s="8">
        <v>905.52</v>
      </c>
      <c r="N358" s="8">
        <v>923.16</v>
      </c>
      <c r="O358" s="8">
        <v>923.58</v>
      </c>
      <c r="P358" s="8">
        <v>917.7</v>
      </c>
      <c r="Q358" s="8">
        <v>912.24</v>
      </c>
      <c r="R358" s="8">
        <v>916.86</v>
      </c>
      <c r="S358" s="8">
        <v>971.04</v>
      </c>
      <c r="T358" s="8">
        <v>1110.9000000000001</v>
      </c>
      <c r="U358" s="8">
        <v>1086.1199999999999</v>
      </c>
      <c r="V358" s="8">
        <v>1083.5999999999999</v>
      </c>
      <c r="W358" s="8">
        <v>1024.8</v>
      </c>
      <c r="X358" s="8">
        <v>964.32</v>
      </c>
      <c r="Y358" s="8">
        <v>869.82</v>
      </c>
      <c r="Z358" s="8">
        <v>827.82</v>
      </c>
    </row>
    <row r="359" spans="1:26" x14ac:dyDescent="0.25">
      <c r="A359" s="4">
        <v>41626</v>
      </c>
      <c r="B359" s="5">
        <f>SUM('2013 - 8760 Load'!_Day718)</f>
        <v>20070.119999999995</v>
      </c>
      <c r="C359" s="8">
        <v>778.26</v>
      </c>
      <c r="D359" s="8">
        <v>754.74</v>
      </c>
      <c r="E359" s="8">
        <v>737.52</v>
      </c>
      <c r="F359" s="8">
        <v>734.58</v>
      </c>
      <c r="G359" s="8">
        <v>743.82</v>
      </c>
      <c r="H359" s="8">
        <v>806.82</v>
      </c>
      <c r="I359" s="8">
        <v>876.96</v>
      </c>
      <c r="J359" s="8">
        <v>893.34</v>
      </c>
      <c r="K359" s="8">
        <v>874.86</v>
      </c>
      <c r="L359" s="8">
        <v>775.32</v>
      </c>
      <c r="M359" s="8">
        <v>768.6</v>
      </c>
      <c r="N359" s="8">
        <v>773.64</v>
      </c>
      <c r="O359" s="8">
        <v>748.44</v>
      </c>
      <c r="P359" s="8">
        <v>713.58</v>
      </c>
      <c r="Q359" s="8">
        <v>741.72</v>
      </c>
      <c r="R359" s="8">
        <v>777.84</v>
      </c>
      <c r="S359" s="8">
        <v>853.02</v>
      </c>
      <c r="T359" s="8">
        <v>997.92</v>
      </c>
      <c r="U359" s="8">
        <v>1013.88</v>
      </c>
      <c r="V359" s="8">
        <v>1006.32</v>
      </c>
      <c r="W359" s="8">
        <v>989.52</v>
      </c>
      <c r="X359" s="8">
        <v>973.14</v>
      </c>
      <c r="Y359" s="8">
        <v>918.96</v>
      </c>
      <c r="Z359" s="8">
        <v>817.32</v>
      </c>
    </row>
    <row r="360" spans="1:26" x14ac:dyDescent="0.25">
      <c r="A360" s="4">
        <v>41627</v>
      </c>
      <c r="B360" s="5">
        <f>SUM('2013 - 8760 Load'!_Day719)</f>
        <v>19213.739999999998</v>
      </c>
      <c r="C360" s="8">
        <v>761.88</v>
      </c>
      <c r="D360" s="8">
        <v>740.04</v>
      </c>
      <c r="E360" s="8">
        <v>728.7</v>
      </c>
      <c r="F360" s="8">
        <v>710.22</v>
      </c>
      <c r="G360" s="8">
        <v>722.4</v>
      </c>
      <c r="H360" s="8">
        <v>769.86</v>
      </c>
      <c r="I360" s="8">
        <v>831.6</v>
      </c>
      <c r="J360" s="8">
        <v>836.64</v>
      </c>
      <c r="K360" s="8">
        <v>827.4</v>
      </c>
      <c r="L360" s="8">
        <v>787.5</v>
      </c>
      <c r="M360" s="8">
        <v>768.18</v>
      </c>
      <c r="N360" s="8">
        <v>748.44</v>
      </c>
      <c r="O360" s="8">
        <v>732.06</v>
      </c>
      <c r="P360" s="8">
        <v>706.02</v>
      </c>
      <c r="Q360" s="8">
        <v>711.48</v>
      </c>
      <c r="R360" s="8">
        <v>721.98</v>
      </c>
      <c r="S360" s="8">
        <v>795.9</v>
      </c>
      <c r="T360" s="8">
        <v>940.8</v>
      </c>
      <c r="U360" s="8">
        <v>949.62</v>
      </c>
      <c r="V360" s="8">
        <v>957.18</v>
      </c>
      <c r="W360" s="8">
        <v>976.92</v>
      </c>
      <c r="X360" s="8">
        <v>919.38</v>
      </c>
      <c r="Y360" s="8">
        <v>821.1</v>
      </c>
      <c r="Z360" s="8">
        <v>748.44</v>
      </c>
    </row>
    <row r="361" spans="1:26" x14ac:dyDescent="0.25">
      <c r="A361" s="4">
        <v>41628</v>
      </c>
      <c r="B361" s="5">
        <f>SUM('2013 - 8760 Load'!_Day720)</f>
        <v>17654.280000000002</v>
      </c>
      <c r="C361" s="8">
        <v>703.92</v>
      </c>
      <c r="D361" s="8">
        <v>668.64</v>
      </c>
      <c r="E361" s="8">
        <v>643.02</v>
      </c>
      <c r="F361" s="8">
        <v>639.24</v>
      </c>
      <c r="G361" s="8">
        <v>645.96</v>
      </c>
      <c r="H361" s="8">
        <v>686.28</v>
      </c>
      <c r="I361" s="8">
        <v>754.32</v>
      </c>
      <c r="J361" s="8">
        <v>757.68</v>
      </c>
      <c r="K361" s="8">
        <v>731.64</v>
      </c>
      <c r="L361" s="8">
        <v>694.26</v>
      </c>
      <c r="M361" s="8">
        <v>682.92</v>
      </c>
      <c r="N361" s="8">
        <v>678.72</v>
      </c>
      <c r="O361" s="8">
        <v>661.5</v>
      </c>
      <c r="P361" s="8">
        <v>670.74</v>
      </c>
      <c r="Q361" s="8">
        <v>685.02</v>
      </c>
      <c r="R361" s="8">
        <v>677.46</v>
      </c>
      <c r="S361" s="8">
        <v>766.5</v>
      </c>
      <c r="T361" s="8">
        <v>897.96</v>
      </c>
      <c r="U361" s="8">
        <v>916.86</v>
      </c>
      <c r="V361" s="8">
        <v>927.78</v>
      </c>
      <c r="W361" s="8">
        <v>875.7</v>
      </c>
      <c r="X361" s="8">
        <v>840</v>
      </c>
      <c r="Y361" s="8">
        <v>756.42</v>
      </c>
      <c r="Z361" s="8">
        <v>691.74</v>
      </c>
    </row>
    <row r="362" spans="1:26" x14ac:dyDescent="0.25">
      <c r="A362" s="4">
        <v>41629</v>
      </c>
      <c r="B362" s="5">
        <f>SUM('2013 - 8760 Load'!_Day721)</f>
        <v>16687.439999999999</v>
      </c>
      <c r="C362" s="8">
        <v>643.86</v>
      </c>
      <c r="D362" s="8">
        <v>603.54</v>
      </c>
      <c r="E362" s="8">
        <v>598.5</v>
      </c>
      <c r="F362" s="8">
        <v>573.72</v>
      </c>
      <c r="G362" s="8">
        <v>585.48</v>
      </c>
      <c r="H362" s="8">
        <v>605.22</v>
      </c>
      <c r="I362" s="8">
        <v>640.91999999999996</v>
      </c>
      <c r="J362" s="8">
        <v>681.24</v>
      </c>
      <c r="K362" s="8">
        <v>713.58</v>
      </c>
      <c r="L362" s="8">
        <v>724.08</v>
      </c>
      <c r="M362" s="8">
        <v>718.2</v>
      </c>
      <c r="N362" s="8">
        <v>683.76</v>
      </c>
      <c r="O362" s="8">
        <v>669.06</v>
      </c>
      <c r="P362" s="8">
        <v>682.92</v>
      </c>
      <c r="Q362" s="8">
        <v>676.62</v>
      </c>
      <c r="R362" s="8">
        <v>686.7</v>
      </c>
      <c r="S362" s="8">
        <v>762.72</v>
      </c>
      <c r="T362" s="8">
        <v>840.42</v>
      </c>
      <c r="U362" s="8">
        <v>841.68</v>
      </c>
      <c r="V362" s="8">
        <v>832.86</v>
      </c>
      <c r="W362" s="8">
        <v>795.06</v>
      </c>
      <c r="X362" s="8">
        <v>775.74</v>
      </c>
      <c r="Y362" s="8">
        <v>709.38</v>
      </c>
      <c r="Z362" s="8">
        <v>642.17999999999995</v>
      </c>
    </row>
    <row r="363" spans="1:26" x14ac:dyDescent="0.25">
      <c r="A363" s="4">
        <v>41630</v>
      </c>
      <c r="B363" s="5">
        <f>SUM('2013 - 8760 Load'!_Day722)</f>
        <v>15700.02</v>
      </c>
      <c r="C363" s="8">
        <v>585.05999999999995</v>
      </c>
      <c r="D363" s="8">
        <v>551.04</v>
      </c>
      <c r="E363" s="8">
        <v>527.94000000000005</v>
      </c>
      <c r="F363" s="8">
        <v>512.82000000000005</v>
      </c>
      <c r="G363" s="8">
        <v>511.98</v>
      </c>
      <c r="H363" s="8">
        <v>536.34</v>
      </c>
      <c r="I363" s="8">
        <v>542.22</v>
      </c>
      <c r="J363" s="8">
        <v>578.34</v>
      </c>
      <c r="K363" s="8">
        <v>629.16</v>
      </c>
      <c r="L363" s="8">
        <v>663.6</v>
      </c>
      <c r="M363" s="8">
        <v>666.96</v>
      </c>
      <c r="N363" s="8">
        <v>653.1</v>
      </c>
      <c r="O363" s="8">
        <v>645.54</v>
      </c>
      <c r="P363" s="8">
        <v>669.9</v>
      </c>
      <c r="Q363" s="8">
        <v>668.64</v>
      </c>
      <c r="R363" s="8">
        <v>688.8</v>
      </c>
      <c r="S363" s="8">
        <v>765.24</v>
      </c>
      <c r="T363" s="8">
        <v>852.6</v>
      </c>
      <c r="U363" s="8">
        <v>844.62</v>
      </c>
      <c r="V363" s="8">
        <v>804.3</v>
      </c>
      <c r="W363" s="8">
        <v>784.56</v>
      </c>
      <c r="X363" s="8">
        <v>731.22</v>
      </c>
      <c r="Y363" s="8">
        <v>696.78</v>
      </c>
      <c r="Z363" s="8">
        <v>589.26</v>
      </c>
    </row>
    <row r="364" spans="1:26" x14ac:dyDescent="0.25">
      <c r="A364" s="4">
        <v>41631</v>
      </c>
      <c r="B364" s="5">
        <f>SUM('2013 - 8760 Load'!_Day723)</f>
        <v>16408.98</v>
      </c>
      <c r="C364" s="8">
        <v>538.44000000000005</v>
      </c>
      <c r="D364" s="8">
        <v>519.96</v>
      </c>
      <c r="E364" s="8">
        <v>495.18</v>
      </c>
      <c r="F364" s="8">
        <v>486.36</v>
      </c>
      <c r="G364" s="8">
        <v>494.76</v>
      </c>
      <c r="H364" s="8">
        <v>513.66</v>
      </c>
      <c r="I364" s="8">
        <v>545.58000000000004</v>
      </c>
      <c r="J364" s="8">
        <v>608.16</v>
      </c>
      <c r="K364" s="8">
        <v>638.82000000000005</v>
      </c>
      <c r="L364" s="8">
        <v>638.82000000000005</v>
      </c>
      <c r="M364" s="8">
        <v>679.14</v>
      </c>
      <c r="N364" s="8">
        <v>668.22</v>
      </c>
      <c r="O364" s="8">
        <v>698.88</v>
      </c>
      <c r="P364" s="8">
        <v>701.4</v>
      </c>
      <c r="Q364" s="8">
        <v>695.1</v>
      </c>
      <c r="R364" s="8">
        <v>715.26</v>
      </c>
      <c r="S364" s="8">
        <v>787.08</v>
      </c>
      <c r="T364" s="8">
        <v>866.46</v>
      </c>
      <c r="U364" s="8">
        <v>908.04</v>
      </c>
      <c r="V364" s="8">
        <v>925.68</v>
      </c>
      <c r="W364" s="8">
        <v>901.32</v>
      </c>
      <c r="X364" s="8">
        <v>851.76</v>
      </c>
      <c r="Y364" s="8">
        <v>806.82</v>
      </c>
      <c r="Z364" s="8">
        <v>724.08</v>
      </c>
    </row>
    <row r="365" spans="1:26" x14ac:dyDescent="0.25">
      <c r="A365" s="4">
        <v>41632</v>
      </c>
      <c r="B365" s="5">
        <f>SUM('2013 - 8760 Load'!_Day724)</f>
        <v>20073.059999999998</v>
      </c>
      <c r="C365" s="8">
        <v>664.44</v>
      </c>
      <c r="D365" s="8">
        <v>645.12</v>
      </c>
      <c r="E365" s="8">
        <v>623.70000000000005</v>
      </c>
      <c r="F365" s="8">
        <v>623.70000000000005</v>
      </c>
      <c r="G365" s="8">
        <v>625.79999999999995</v>
      </c>
      <c r="H365" s="8">
        <v>664.86</v>
      </c>
      <c r="I365" s="8">
        <v>709.8</v>
      </c>
      <c r="J365" s="8">
        <v>755.58</v>
      </c>
      <c r="K365" s="8">
        <v>811.02</v>
      </c>
      <c r="L365" s="8">
        <v>832.86</v>
      </c>
      <c r="M365" s="8">
        <v>821.94</v>
      </c>
      <c r="N365" s="8">
        <v>820.26</v>
      </c>
      <c r="O365" s="8">
        <v>856.8</v>
      </c>
      <c r="P365" s="8">
        <v>879.48</v>
      </c>
      <c r="Q365" s="8">
        <v>883.68</v>
      </c>
      <c r="R365" s="8">
        <v>910.56</v>
      </c>
      <c r="S365" s="8">
        <v>977.76</v>
      </c>
      <c r="T365" s="8">
        <v>1042.8599999999999</v>
      </c>
      <c r="U365" s="8">
        <v>1059.6600000000001</v>
      </c>
      <c r="V365" s="8">
        <v>1032.3599999999999</v>
      </c>
      <c r="W365" s="8">
        <v>1022.28</v>
      </c>
      <c r="X365" s="8">
        <v>971.46</v>
      </c>
      <c r="Y365" s="8">
        <v>937.44</v>
      </c>
      <c r="Z365" s="8">
        <v>899.64</v>
      </c>
    </row>
    <row r="366" spans="1:26" x14ac:dyDescent="0.25">
      <c r="A366" s="4">
        <v>41633</v>
      </c>
      <c r="B366" s="5">
        <f>SUM('2013 - 8760 Load'!_Day725)</f>
        <v>22176.84</v>
      </c>
      <c r="C366" s="8">
        <v>842.94</v>
      </c>
      <c r="D366" s="8">
        <v>801.78</v>
      </c>
      <c r="E366" s="8">
        <v>787.08</v>
      </c>
      <c r="F366" s="8">
        <v>774.48</v>
      </c>
      <c r="G366" s="8">
        <v>767.34</v>
      </c>
      <c r="H366" s="8">
        <v>796.32</v>
      </c>
      <c r="I366" s="8">
        <v>830.76</v>
      </c>
      <c r="J366" s="8">
        <v>901.74</v>
      </c>
      <c r="K366" s="8">
        <v>935.34</v>
      </c>
      <c r="L366" s="8">
        <v>987.42</v>
      </c>
      <c r="M366" s="8">
        <v>981.54</v>
      </c>
      <c r="N366" s="8">
        <v>958.44</v>
      </c>
      <c r="O366" s="8">
        <v>946.68</v>
      </c>
      <c r="P366" s="8">
        <v>946.26</v>
      </c>
      <c r="Q366" s="8">
        <v>947.1</v>
      </c>
      <c r="R366" s="8">
        <v>947.94</v>
      </c>
      <c r="S366" s="8">
        <v>962.22</v>
      </c>
      <c r="T366" s="8">
        <v>1044.54</v>
      </c>
      <c r="U366" s="8">
        <v>1060.08</v>
      </c>
      <c r="V366" s="8">
        <v>1042.44</v>
      </c>
      <c r="W366" s="8">
        <v>1057.98</v>
      </c>
      <c r="X366" s="8">
        <v>1013.04</v>
      </c>
      <c r="Y366" s="8">
        <v>970.2</v>
      </c>
      <c r="Z366" s="8">
        <v>873.18</v>
      </c>
    </row>
    <row r="367" spans="1:26" x14ac:dyDescent="0.25">
      <c r="A367" s="4">
        <v>41634</v>
      </c>
      <c r="B367" s="5">
        <f>SUM('2013 - 8760 Load'!_Day726)</f>
        <v>21433.440000000002</v>
      </c>
      <c r="C367" s="8">
        <v>799.26</v>
      </c>
      <c r="D367" s="8">
        <v>791.7</v>
      </c>
      <c r="E367" s="8">
        <v>753.06</v>
      </c>
      <c r="F367" s="8">
        <v>746.34</v>
      </c>
      <c r="G367" s="8">
        <v>741.3</v>
      </c>
      <c r="H367" s="8">
        <v>785.4</v>
      </c>
      <c r="I367" s="8">
        <v>824.46</v>
      </c>
      <c r="J367" s="8">
        <v>813.96</v>
      </c>
      <c r="K367" s="8">
        <v>861</v>
      </c>
      <c r="L367" s="8">
        <v>876.96</v>
      </c>
      <c r="M367" s="8">
        <v>930.72</v>
      </c>
      <c r="N367" s="8">
        <v>907.2</v>
      </c>
      <c r="O367" s="8">
        <v>887.88</v>
      </c>
      <c r="P367" s="8">
        <v>883.68</v>
      </c>
      <c r="Q367" s="8">
        <v>884.1</v>
      </c>
      <c r="R367" s="8">
        <v>874.44</v>
      </c>
      <c r="S367" s="8">
        <v>947.52</v>
      </c>
      <c r="T367" s="8">
        <v>1069.74</v>
      </c>
      <c r="U367" s="8">
        <v>1104.18</v>
      </c>
      <c r="V367" s="8">
        <v>1107.96</v>
      </c>
      <c r="W367" s="8">
        <v>1047.9000000000001</v>
      </c>
      <c r="X367" s="8">
        <v>1016.82</v>
      </c>
      <c r="Y367" s="8">
        <v>932.4</v>
      </c>
      <c r="Z367" s="8">
        <v>845.46</v>
      </c>
    </row>
    <row r="368" spans="1:26" x14ac:dyDescent="0.25">
      <c r="A368" s="4">
        <v>41635</v>
      </c>
      <c r="B368" s="5">
        <f>SUM('2013 - 8760 Load'!_Day727)</f>
        <v>21358.680000000004</v>
      </c>
      <c r="C368" s="8">
        <v>791.7</v>
      </c>
      <c r="D368" s="8">
        <v>764.4</v>
      </c>
      <c r="E368" s="8">
        <v>749.7</v>
      </c>
      <c r="F368" s="8">
        <v>744.24</v>
      </c>
      <c r="G368" s="8">
        <v>745.08</v>
      </c>
      <c r="H368" s="8">
        <v>779.1</v>
      </c>
      <c r="I368" s="8">
        <v>815.22</v>
      </c>
      <c r="J368" s="8">
        <v>846.72</v>
      </c>
      <c r="K368" s="8">
        <v>876.96</v>
      </c>
      <c r="L368" s="8">
        <v>892.08</v>
      </c>
      <c r="M368" s="8">
        <v>915.18</v>
      </c>
      <c r="N368" s="8">
        <v>929.04</v>
      </c>
      <c r="O368" s="8">
        <v>925.26</v>
      </c>
      <c r="P368" s="8">
        <v>889.14</v>
      </c>
      <c r="Q368" s="8">
        <v>883.26</v>
      </c>
      <c r="R368" s="8">
        <v>902.58</v>
      </c>
      <c r="S368" s="8">
        <v>950.04</v>
      </c>
      <c r="T368" s="8">
        <v>1070.1600000000001</v>
      </c>
      <c r="U368" s="8">
        <v>1039.5</v>
      </c>
      <c r="V368" s="8">
        <v>1018.92</v>
      </c>
      <c r="W368" s="8">
        <v>999.18</v>
      </c>
      <c r="X368" s="8">
        <v>986.58</v>
      </c>
      <c r="Y368" s="8">
        <v>954.24</v>
      </c>
      <c r="Z368" s="8">
        <v>890.4</v>
      </c>
    </row>
    <row r="369" spans="1:26" x14ac:dyDescent="0.25">
      <c r="A369" s="4">
        <v>41636</v>
      </c>
      <c r="B369" s="5">
        <f>SUM('2013 - 8760 Load'!_Day728)</f>
        <v>20412.839999999993</v>
      </c>
      <c r="C369" s="8">
        <v>821.1</v>
      </c>
      <c r="D369" s="8">
        <v>772.38</v>
      </c>
      <c r="E369" s="8">
        <v>748.02</v>
      </c>
      <c r="F369" s="8">
        <v>744.66</v>
      </c>
      <c r="G369" s="8">
        <v>725.76</v>
      </c>
      <c r="H369" s="8">
        <v>768.6</v>
      </c>
      <c r="I369" s="8">
        <v>794.22</v>
      </c>
      <c r="J369" s="8">
        <v>840.84</v>
      </c>
      <c r="K369" s="8">
        <v>887.46</v>
      </c>
      <c r="L369" s="8">
        <v>918.12</v>
      </c>
      <c r="M369" s="8">
        <v>959.28</v>
      </c>
      <c r="N369" s="8">
        <v>918.12</v>
      </c>
      <c r="O369" s="8">
        <v>824.88</v>
      </c>
      <c r="P369" s="8">
        <v>772.8</v>
      </c>
      <c r="Q369" s="8">
        <v>771.96</v>
      </c>
      <c r="R369" s="8">
        <v>783.72</v>
      </c>
      <c r="S369" s="8">
        <v>861.42</v>
      </c>
      <c r="T369" s="8">
        <v>990.78</v>
      </c>
      <c r="U369" s="8">
        <v>994.14</v>
      </c>
      <c r="V369" s="8">
        <v>958.86</v>
      </c>
      <c r="W369" s="8">
        <v>969.78</v>
      </c>
      <c r="X369" s="8">
        <v>924.42</v>
      </c>
      <c r="Y369" s="8">
        <v>873.6</v>
      </c>
      <c r="Z369" s="8">
        <v>787.92</v>
      </c>
    </row>
    <row r="370" spans="1:26" x14ac:dyDescent="0.25">
      <c r="A370" s="4">
        <v>41637</v>
      </c>
      <c r="B370" s="5">
        <f>SUM('2013 - 8760 Load'!_Day729)</f>
        <v>20152.86</v>
      </c>
      <c r="C370" s="8">
        <v>737.94</v>
      </c>
      <c r="D370" s="8">
        <v>686.7</v>
      </c>
      <c r="E370" s="8">
        <v>673.26</v>
      </c>
      <c r="F370" s="8">
        <v>663.6</v>
      </c>
      <c r="G370" s="8">
        <v>646.38</v>
      </c>
      <c r="H370" s="8">
        <v>665.7</v>
      </c>
      <c r="I370" s="8">
        <v>686.28</v>
      </c>
      <c r="J370" s="8">
        <v>721.14</v>
      </c>
      <c r="K370" s="8">
        <v>809.76</v>
      </c>
      <c r="L370" s="8">
        <v>842.1</v>
      </c>
      <c r="M370" s="8">
        <v>908.04</v>
      </c>
      <c r="N370" s="8">
        <v>922.74</v>
      </c>
      <c r="O370" s="8">
        <v>929.46</v>
      </c>
      <c r="P370" s="8">
        <v>932.82</v>
      </c>
      <c r="Q370" s="8">
        <v>908.04</v>
      </c>
      <c r="R370" s="8">
        <v>966.42</v>
      </c>
      <c r="S370" s="8">
        <v>960.54</v>
      </c>
      <c r="T370" s="8">
        <v>1048.32</v>
      </c>
      <c r="U370" s="8">
        <v>1039.5</v>
      </c>
      <c r="V370" s="8">
        <v>992.88</v>
      </c>
      <c r="W370" s="8">
        <v>947.94</v>
      </c>
      <c r="X370" s="8">
        <v>896.28</v>
      </c>
      <c r="Y370" s="8">
        <v>824.88</v>
      </c>
      <c r="Z370" s="8">
        <v>742.14</v>
      </c>
    </row>
    <row r="371" spans="1:26" x14ac:dyDescent="0.25">
      <c r="A371" s="4">
        <v>41638</v>
      </c>
      <c r="B371" s="5">
        <f>SUM('2013 - 8760 Load'!_Day730)</f>
        <v>19671.96</v>
      </c>
      <c r="C371" s="8">
        <v>705.18</v>
      </c>
      <c r="D371" s="8">
        <v>654.36</v>
      </c>
      <c r="E371" s="8">
        <v>635.46</v>
      </c>
      <c r="F371" s="8">
        <v>614.04</v>
      </c>
      <c r="G371" s="8">
        <v>620.76</v>
      </c>
      <c r="H371" s="8">
        <v>645.96</v>
      </c>
      <c r="I371" s="8">
        <v>682.92</v>
      </c>
      <c r="J371" s="8">
        <v>707.28</v>
      </c>
      <c r="K371" s="8">
        <v>770.28</v>
      </c>
      <c r="L371" s="8">
        <v>785.82</v>
      </c>
      <c r="M371" s="8">
        <v>790.44</v>
      </c>
      <c r="N371" s="8">
        <v>779.1</v>
      </c>
      <c r="O371" s="8">
        <v>788.76</v>
      </c>
      <c r="P371" s="8">
        <v>795.06</v>
      </c>
      <c r="Q371" s="8">
        <v>808.5</v>
      </c>
      <c r="R371" s="8">
        <v>835.8</v>
      </c>
      <c r="S371" s="8">
        <v>879.06</v>
      </c>
      <c r="T371" s="8">
        <v>1035.72</v>
      </c>
      <c r="U371" s="8">
        <v>1089.9000000000001</v>
      </c>
      <c r="V371" s="8">
        <v>1121.4000000000001</v>
      </c>
      <c r="W371" s="8">
        <v>1068.48</v>
      </c>
      <c r="X371" s="8">
        <v>995.82</v>
      </c>
      <c r="Y371" s="8">
        <v>961.8</v>
      </c>
      <c r="Z371" s="8">
        <v>900.06</v>
      </c>
    </row>
    <row r="372" spans="1:26" x14ac:dyDescent="0.25">
      <c r="A372" s="4">
        <v>41639</v>
      </c>
      <c r="B372" s="5">
        <f>SUM('2013 - 8760 Load'!_Day731)</f>
        <v>22540.560000000001</v>
      </c>
      <c r="C372" s="8">
        <v>828.24</v>
      </c>
      <c r="D372" s="8">
        <v>797.58</v>
      </c>
      <c r="E372" s="8">
        <v>768.18</v>
      </c>
      <c r="F372" s="8">
        <v>763.98</v>
      </c>
      <c r="G372" s="8">
        <v>792.54</v>
      </c>
      <c r="H372" s="8">
        <v>819.42</v>
      </c>
      <c r="I372" s="8">
        <v>848.82</v>
      </c>
      <c r="J372" s="8">
        <v>856.8</v>
      </c>
      <c r="K372" s="8">
        <v>910.56</v>
      </c>
      <c r="L372" s="8">
        <v>908.88</v>
      </c>
      <c r="M372" s="8">
        <v>929.46</v>
      </c>
      <c r="N372" s="8">
        <v>919.38</v>
      </c>
      <c r="O372" s="8">
        <v>923.16</v>
      </c>
      <c r="P372" s="8">
        <v>919.38</v>
      </c>
      <c r="Q372" s="8">
        <v>951.72</v>
      </c>
      <c r="R372" s="8">
        <v>957.6</v>
      </c>
      <c r="S372" s="8">
        <v>1031.0999999999999</v>
      </c>
      <c r="T372" s="8">
        <v>1142.4000000000001</v>
      </c>
      <c r="U372" s="8">
        <v>1168.02</v>
      </c>
      <c r="V372" s="8">
        <v>1139.8800000000001</v>
      </c>
      <c r="W372" s="8">
        <v>1097.04</v>
      </c>
      <c r="X372" s="8">
        <v>1078.56</v>
      </c>
      <c r="Y372" s="8">
        <v>1006.32</v>
      </c>
      <c r="Z372" s="8">
        <v>981.54</v>
      </c>
    </row>
    <row r="373" spans="1:26" x14ac:dyDescent="0.25">
      <c r="A373" s="1" t="s">
        <v>3</v>
      </c>
      <c r="B373" s="5">
        <f>SUM('2013 - 8760 Load'!DailyConsumption)</f>
        <v>5828769.6599999992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T21" sqref="T21"/>
    </sheetView>
  </sheetViews>
  <sheetFormatPr defaultRowHeight="15" x14ac:dyDescent="0.25"/>
  <sheetData>
    <row r="1" spans="1:2" x14ac:dyDescent="0.25">
      <c r="A1" s="9" t="s">
        <v>5</v>
      </c>
      <c r="B1" t="s">
        <v>0</v>
      </c>
    </row>
    <row r="2" spans="1:2" x14ac:dyDescent="0.25">
      <c r="A2" s="10">
        <v>0</v>
      </c>
      <c r="B2">
        <v>462</v>
      </c>
    </row>
    <row r="3" spans="1:2" x14ac:dyDescent="0.25">
      <c r="A3" s="10">
        <v>4.1666666666666664E-2</v>
      </c>
      <c r="B3">
        <v>452.76</v>
      </c>
    </row>
    <row r="4" spans="1:2" x14ac:dyDescent="0.25">
      <c r="A4" s="10">
        <v>8.3333333333333329E-2</v>
      </c>
      <c r="B4">
        <v>453.18</v>
      </c>
    </row>
    <row r="5" spans="1:2" x14ac:dyDescent="0.25">
      <c r="A5" s="10">
        <v>0.125</v>
      </c>
      <c r="B5">
        <v>455.28</v>
      </c>
    </row>
    <row r="6" spans="1:2" x14ac:dyDescent="0.25">
      <c r="A6" s="10">
        <v>0.16666666666666666</v>
      </c>
      <c r="B6">
        <v>473.76</v>
      </c>
    </row>
    <row r="7" spans="1:2" x14ac:dyDescent="0.25">
      <c r="A7" s="10">
        <v>0.20833333333333334</v>
      </c>
      <c r="B7">
        <v>498.54</v>
      </c>
    </row>
    <row r="8" spans="1:2" x14ac:dyDescent="0.25">
      <c r="A8" s="10">
        <v>0.25</v>
      </c>
      <c r="B8">
        <v>524.58000000000004</v>
      </c>
    </row>
    <row r="9" spans="1:2" x14ac:dyDescent="0.25">
      <c r="A9" s="10">
        <v>0.29166666666666669</v>
      </c>
      <c r="B9">
        <v>574.14</v>
      </c>
    </row>
    <row r="10" spans="1:2" x14ac:dyDescent="0.25">
      <c r="A10" s="10">
        <v>0.33333333333333331</v>
      </c>
      <c r="B10">
        <v>576.66</v>
      </c>
    </row>
    <row r="11" spans="1:2" x14ac:dyDescent="0.25">
      <c r="A11" s="10">
        <v>0.375</v>
      </c>
      <c r="B11">
        <v>569.94000000000005</v>
      </c>
    </row>
    <row r="12" spans="1:2" x14ac:dyDescent="0.25">
      <c r="A12" s="10">
        <v>0.41666666666666669</v>
      </c>
      <c r="B12">
        <v>563.64</v>
      </c>
    </row>
    <row r="13" spans="1:2" x14ac:dyDescent="0.25">
      <c r="A13" s="10">
        <v>0.45833333333333331</v>
      </c>
      <c r="B13">
        <v>542.22</v>
      </c>
    </row>
    <row r="14" spans="1:2" x14ac:dyDescent="0.25">
      <c r="A14" s="10">
        <v>0.5</v>
      </c>
      <c r="B14">
        <v>534.24</v>
      </c>
    </row>
    <row r="15" spans="1:2" x14ac:dyDescent="0.25">
      <c r="A15" s="10">
        <v>0.54166666666666663</v>
      </c>
      <c r="B15">
        <v>530.04</v>
      </c>
    </row>
    <row r="16" spans="1:2" x14ac:dyDescent="0.25">
      <c r="A16" s="10">
        <v>0.58333333333333337</v>
      </c>
      <c r="B16">
        <v>524.16</v>
      </c>
    </row>
    <row r="17" spans="1:2" x14ac:dyDescent="0.25">
      <c r="A17" s="10">
        <v>0.625</v>
      </c>
      <c r="B17">
        <v>523.74</v>
      </c>
    </row>
    <row r="18" spans="1:2" x14ac:dyDescent="0.25">
      <c r="A18" s="10">
        <v>0.66666666666666663</v>
      </c>
      <c r="B18">
        <v>545.16</v>
      </c>
    </row>
    <row r="19" spans="1:2" x14ac:dyDescent="0.25">
      <c r="A19" s="10">
        <v>0.70833333333333337</v>
      </c>
      <c r="B19">
        <v>563.22</v>
      </c>
    </row>
    <row r="20" spans="1:2" x14ac:dyDescent="0.25">
      <c r="A20" s="10">
        <v>0.75</v>
      </c>
      <c r="B20">
        <v>585.9</v>
      </c>
    </row>
    <row r="21" spans="1:2" x14ac:dyDescent="0.25">
      <c r="A21" s="10">
        <v>0.79166666666666663</v>
      </c>
      <c r="B21">
        <v>614.88</v>
      </c>
    </row>
    <row r="22" spans="1:2" x14ac:dyDescent="0.25">
      <c r="A22" s="10">
        <v>0.83333333333333337</v>
      </c>
      <c r="B22">
        <v>610.67999999999995</v>
      </c>
    </row>
    <row r="23" spans="1:2" x14ac:dyDescent="0.25">
      <c r="A23" s="10">
        <v>0.875</v>
      </c>
      <c r="B23">
        <v>561.12</v>
      </c>
    </row>
    <row r="24" spans="1:2" x14ac:dyDescent="0.25">
      <c r="A24" s="10">
        <v>0.91666666666666663</v>
      </c>
      <c r="B24">
        <v>514.91999999999996</v>
      </c>
    </row>
    <row r="25" spans="1:2" x14ac:dyDescent="0.25">
      <c r="A25" s="10">
        <v>0.95833333333333337</v>
      </c>
      <c r="B25">
        <v>507.36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18" sqref="S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5CB639-04BB-4FC0-A8AB-C5A14E66AC39}"/>
</file>

<file path=customXml/itemProps2.xml><?xml version="1.0" encoding="utf-8"?>
<ds:datastoreItem xmlns:ds="http://schemas.openxmlformats.org/officeDocument/2006/customXml" ds:itemID="{A4A5572F-F612-4AD1-A6CA-FCB26DA4B664}"/>
</file>

<file path=customXml/itemProps3.xml><?xml version="1.0" encoding="utf-8"?>
<ds:datastoreItem xmlns:ds="http://schemas.openxmlformats.org/officeDocument/2006/customXml" ds:itemID="{84177F64-3674-450F-B4E5-A59C0132B7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373</vt:i4>
      </vt:variant>
    </vt:vector>
  </HeadingPairs>
  <TitlesOfParts>
    <vt:vector size="377" baseType="lpstr">
      <vt:lpstr>2013 - 8760 Load</vt:lpstr>
      <vt:lpstr>2015 - 24-Hr Minimum Day Curve</vt:lpstr>
      <vt:lpstr>2016 24-Hr Forecasted Net Load</vt:lpstr>
      <vt:lpstr>Sheet3</vt:lpstr>
      <vt:lpstr>'2013 - 8760 Load'!_Day367</vt:lpstr>
      <vt:lpstr>'2013 - 8760 Load'!_Day368</vt:lpstr>
      <vt:lpstr>'2013 - 8760 Load'!_Day369</vt:lpstr>
      <vt:lpstr>'2013 - 8760 Load'!_Day370</vt:lpstr>
      <vt:lpstr>'2013 - 8760 Load'!_Day371</vt:lpstr>
      <vt:lpstr>'2013 - 8760 Load'!_Day372</vt:lpstr>
      <vt:lpstr>'2013 - 8760 Load'!_Day373</vt:lpstr>
      <vt:lpstr>'2013 - 8760 Load'!_Day374</vt:lpstr>
      <vt:lpstr>'2013 - 8760 Load'!_Day375</vt:lpstr>
      <vt:lpstr>'2013 - 8760 Load'!_Day376</vt:lpstr>
      <vt:lpstr>'2013 - 8760 Load'!_Day377</vt:lpstr>
      <vt:lpstr>'2013 - 8760 Load'!_Day378</vt:lpstr>
      <vt:lpstr>'2013 - 8760 Load'!_Day379</vt:lpstr>
      <vt:lpstr>'2013 - 8760 Load'!_Day380</vt:lpstr>
      <vt:lpstr>'2013 - 8760 Load'!_Day381</vt:lpstr>
      <vt:lpstr>'2013 - 8760 Load'!_Day382</vt:lpstr>
      <vt:lpstr>'2013 - 8760 Load'!_Day383</vt:lpstr>
      <vt:lpstr>'2013 - 8760 Load'!_Day384</vt:lpstr>
      <vt:lpstr>'2013 - 8760 Load'!_Day385</vt:lpstr>
      <vt:lpstr>'2013 - 8760 Load'!_Day386</vt:lpstr>
      <vt:lpstr>'2013 - 8760 Load'!_Day387</vt:lpstr>
      <vt:lpstr>'2013 - 8760 Load'!_Day388</vt:lpstr>
      <vt:lpstr>'2013 - 8760 Load'!_Day389</vt:lpstr>
      <vt:lpstr>'2013 - 8760 Load'!_Day390</vt:lpstr>
      <vt:lpstr>'2013 - 8760 Load'!_Day391</vt:lpstr>
      <vt:lpstr>'2013 - 8760 Load'!_Day392</vt:lpstr>
      <vt:lpstr>'2013 - 8760 Load'!_Day393</vt:lpstr>
      <vt:lpstr>'2013 - 8760 Load'!_Day394</vt:lpstr>
      <vt:lpstr>'2013 - 8760 Load'!_Day395</vt:lpstr>
      <vt:lpstr>'2013 - 8760 Load'!_Day396</vt:lpstr>
      <vt:lpstr>'2013 - 8760 Load'!_Day397</vt:lpstr>
      <vt:lpstr>'2013 - 8760 Load'!_Day398</vt:lpstr>
      <vt:lpstr>'2013 - 8760 Load'!_Day399</vt:lpstr>
      <vt:lpstr>'2013 - 8760 Load'!_Day400</vt:lpstr>
      <vt:lpstr>'2013 - 8760 Load'!_Day401</vt:lpstr>
      <vt:lpstr>'2013 - 8760 Load'!_Day402</vt:lpstr>
      <vt:lpstr>'2013 - 8760 Load'!_Day403</vt:lpstr>
      <vt:lpstr>'2013 - 8760 Load'!_Day404</vt:lpstr>
      <vt:lpstr>'2013 - 8760 Load'!_Day405</vt:lpstr>
      <vt:lpstr>'2013 - 8760 Load'!_Day406</vt:lpstr>
      <vt:lpstr>'2013 - 8760 Load'!_Day407</vt:lpstr>
      <vt:lpstr>'2013 - 8760 Load'!_Day408</vt:lpstr>
      <vt:lpstr>'2013 - 8760 Load'!_Day409</vt:lpstr>
      <vt:lpstr>'2013 - 8760 Load'!_Day410</vt:lpstr>
      <vt:lpstr>'2013 - 8760 Load'!_Day411</vt:lpstr>
      <vt:lpstr>'2013 - 8760 Load'!_Day412</vt:lpstr>
      <vt:lpstr>'2013 - 8760 Load'!_Day413</vt:lpstr>
      <vt:lpstr>'2013 - 8760 Load'!_Day414</vt:lpstr>
      <vt:lpstr>'2013 - 8760 Load'!_Day415</vt:lpstr>
      <vt:lpstr>'2013 - 8760 Load'!_Day416</vt:lpstr>
      <vt:lpstr>'2013 - 8760 Load'!_Day417</vt:lpstr>
      <vt:lpstr>'2013 - 8760 Load'!_Day418</vt:lpstr>
      <vt:lpstr>'2013 - 8760 Load'!_Day419</vt:lpstr>
      <vt:lpstr>'2013 - 8760 Load'!_Day420</vt:lpstr>
      <vt:lpstr>'2013 - 8760 Load'!_Day421</vt:lpstr>
      <vt:lpstr>'2013 - 8760 Load'!_Day422</vt:lpstr>
      <vt:lpstr>'2013 - 8760 Load'!_Day423</vt:lpstr>
      <vt:lpstr>'2013 - 8760 Load'!_Day424</vt:lpstr>
      <vt:lpstr>'2013 - 8760 Load'!_Day425</vt:lpstr>
      <vt:lpstr>'2013 - 8760 Load'!_Day426</vt:lpstr>
      <vt:lpstr>'2013 - 8760 Load'!_Day427</vt:lpstr>
      <vt:lpstr>'2013 - 8760 Load'!_Day428</vt:lpstr>
      <vt:lpstr>'2013 - 8760 Load'!_Day429</vt:lpstr>
      <vt:lpstr>'2013 - 8760 Load'!_Day430</vt:lpstr>
      <vt:lpstr>'2013 - 8760 Load'!_Day431</vt:lpstr>
      <vt:lpstr>'2013 - 8760 Load'!_Day432</vt:lpstr>
      <vt:lpstr>'2013 - 8760 Load'!_Day433</vt:lpstr>
      <vt:lpstr>'2013 - 8760 Load'!_Day434</vt:lpstr>
      <vt:lpstr>'2013 - 8760 Load'!_Day435</vt:lpstr>
      <vt:lpstr>'2013 - 8760 Load'!_Day436</vt:lpstr>
      <vt:lpstr>'2013 - 8760 Load'!_Day437</vt:lpstr>
      <vt:lpstr>'2013 - 8760 Load'!_Day438</vt:lpstr>
      <vt:lpstr>'2013 - 8760 Load'!_Day439</vt:lpstr>
      <vt:lpstr>'2013 - 8760 Load'!_Day440</vt:lpstr>
      <vt:lpstr>'2013 - 8760 Load'!_Day441</vt:lpstr>
      <vt:lpstr>'2013 - 8760 Load'!_Day442</vt:lpstr>
      <vt:lpstr>'2013 - 8760 Load'!_Day443</vt:lpstr>
      <vt:lpstr>'2013 - 8760 Load'!_Day444</vt:lpstr>
      <vt:lpstr>'2013 - 8760 Load'!_Day445</vt:lpstr>
      <vt:lpstr>'2013 - 8760 Load'!_Day446</vt:lpstr>
      <vt:lpstr>'2013 - 8760 Load'!_Day447</vt:lpstr>
      <vt:lpstr>'2013 - 8760 Load'!_Day448</vt:lpstr>
      <vt:lpstr>'2013 - 8760 Load'!_Day449</vt:lpstr>
      <vt:lpstr>'2013 - 8760 Load'!_Day450</vt:lpstr>
      <vt:lpstr>'2013 - 8760 Load'!_Day451</vt:lpstr>
      <vt:lpstr>'2013 - 8760 Load'!_Day452</vt:lpstr>
      <vt:lpstr>'2013 - 8760 Load'!_Day453</vt:lpstr>
      <vt:lpstr>'2013 - 8760 Load'!_Day454</vt:lpstr>
      <vt:lpstr>'2013 - 8760 Load'!_Day455</vt:lpstr>
      <vt:lpstr>'2013 - 8760 Load'!_Day456</vt:lpstr>
      <vt:lpstr>'2013 - 8760 Load'!_Day457</vt:lpstr>
      <vt:lpstr>'2013 - 8760 Load'!_Day458</vt:lpstr>
      <vt:lpstr>'2013 - 8760 Load'!_Day459</vt:lpstr>
      <vt:lpstr>'2013 - 8760 Load'!_Day460</vt:lpstr>
      <vt:lpstr>'2013 - 8760 Load'!_Day461</vt:lpstr>
      <vt:lpstr>'2013 - 8760 Load'!_Day462</vt:lpstr>
      <vt:lpstr>'2013 - 8760 Load'!_Day463</vt:lpstr>
      <vt:lpstr>'2013 - 8760 Load'!_Day464</vt:lpstr>
      <vt:lpstr>'2013 - 8760 Load'!_Day465</vt:lpstr>
      <vt:lpstr>'2013 - 8760 Load'!_Day466</vt:lpstr>
      <vt:lpstr>'2013 - 8760 Load'!_Day467</vt:lpstr>
      <vt:lpstr>'2013 - 8760 Load'!_Day468</vt:lpstr>
      <vt:lpstr>'2013 - 8760 Load'!_Day469</vt:lpstr>
      <vt:lpstr>'2013 - 8760 Load'!_Day470</vt:lpstr>
      <vt:lpstr>'2013 - 8760 Load'!_Day471</vt:lpstr>
      <vt:lpstr>'2013 - 8760 Load'!_Day472</vt:lpstr>
      <vt:lpstr>'2013 - 8760 Load'!_Day473</vt:lpstr>
      <vt:lpstr>'2013 - 8760 Load'!_Day474</vt:lpstr>
      <vt:lpstr>'2013 - 8760 Load'!_Day475</vt:lpstr>
      <vt:lpstr>'2013 - 8760 Load'!_Day476</vt:lpstr>
      <vt:lpstr>'2013 - 8760 Load'!_Day477</vt:lpstr>
      <vt:lpstr>'2013 - 8760 Load'!_Day478</vt:lpstr>
      <vt:lpstr>'2013 - 8760 Load'!_Day479</vt:lpstr>
      <vt:lpstr>'2013 - 8760 Load'!_Day480</vt:lpstr>
      <vt:lpstr>'2013 - 8760 Load'!_Day481</vt:lpstr>
      <vt:lpstr>'2013 - 8760 Load'!_Day482</vt:lpstr>
      <vt:lpstr>'2013 - 8760 Load'!_Day483</vt:lpstr>
      <vt:lpstr>'2013 - 8760 Load'!_Day484</vt:lpstr>
      <vt:lpstr>'2013 - 8760 Load'!_Day485</vt:lpstr>
      <vt:lpstr>'2013 - 8760 Load'!_Day486</vt:lpstr>
      <vt:lpstr>'2013 - 8760 Load'!_Day487</vt:lpstr>
      <vt:lpstr>'2013 - 8760 Load'!_Day488</vt:lpstr>
      <vt:lpstr>'2013 - 8760 Load'!_Day489</vt:lpstr>
      <vt:lpstr>'2013 - 8760 Load'!_Day490</vt:lpstr>
      <vt:lpstr>'2013 - 8760 Load'!_Day491</vt:lpstr>
      <vt:lpstr>'2013 - 8760 Load'!_Day492</vt:lpstr>
      <vt:lpstr>'2013 - 8760 Load'!_Day493</vt:lpstr>
      <vt:lpstr>'2013 - 8760 Load'!_Day494</vt:lpstr>
      <vt:lpstr>'2013 - 8760 Load'!_Day495</vt:lpstr>
      <vt:lpstr>'2013 - 8760 Load'!_Day496</vt:lpstr>
      <vt:lpstr>'2013 - 8760 Load'!_Day497</vt:lpstr>
      <vt:lpstr>'2013 - 8760 Load'!_Day498</vt:lpstr>
      <vt:lpstr>'2013 - 8760 Load'!_Day499</vt:lpstr>
      <vt:lpstr>'2013 - 8760 Load'!_Day500</vt:lpstr>
      <vt:lpstr>'2013 - 8760 Load'!_Day501</vt:lpstr>
      <vt:lpstr>'2013 - 8760 Load'!_Day502</vt:lpstr>
      <vt:lpstr>'2013 - 8760 Load'!_Day503</vt:lpstr>
      <vt:lpstr>'2013 - 8760 Load'!_Day504</vt:lpstr>
      <vt:lpstr>'2013 - 8760 Load'!_Day505</vt:lpstr>
      <vt:lpstr>'2013 - 8760 Load'!_Day506</vt:lpstr>
      <vt:lpstr>'2013 - 8760 Load'!_Day507</vt:lpstr>
      <vt:lpstr>'2013 - 8760 Load'!_Day508</vt:lpstr>
      <vt:lpstr>'2013 - 8760 Load'!_Day509</vt:lpstr>
      <vt:lpstr>'2013 - 8760 Load'!_Day510</vt:lpstr>
      <vt:lpstr>'2013 - 8760 Load'!_Day511</vt:lpstr>
      <vt:lpstr>'2013 - 8760 Load'!_Day512</vt:lpstr>
      <vt:lpstr>'2013 - 8760 Load'!_Day513</vt:lpstr>
      <vt:lpstr>'2013 - 8760 Load'!_Day514</vt:lpstr>
      <vt:lpstr>'2013 - 8760 Load'!_Day515</vt:lpstr>
      <vt:lpstr>'2013 - 8760 Load'!_Day516</vt:lpstr>
      <vt:lpstr>'2013 - 8760 Load'!_Day517</vt:lpstr>
      <vt:lpstr>'2013 - 8760 Load'!_Day518</vt:lpstr>
      <vt:lpstr>'2013 - 8760 Load'!_Day519</vt:lpstr>
      <vt:lpstr>'2013 - 8760 Load'!_Day520</vt:lpstr>
      <vt:lpstr>'2013 - 8760 Load'!_Day521</vt:lpstr>
      <vt:lpstr>'2013 - 8760 Load'!_Day522</vt:lpstr>
      <vt:lpstr>'2013 - 8760 Load'!_Day523</vt:lpstr>
      <vt:lpstr>'2013 - 8760 Load'!_Day524</vt:lpstr>
      <vt:lpstr>'2013 - 8760 Load'!_Day525</vt:lpstr>
      <vt:lpstr>'2013 - 8760 Load'!_Day526</vt:lpstr>
      <vt:lpstr>'2013 - 8760 Load'!_Day527</vt:lpstr>
      <vt:lpstr>'2013 - 8760 Load'!_Day528</vt:lpstr>
      <vt:lpstr>'2013 - 8760 Load'!_Day529</vt:lpstr>
      <vt:lpstr>'2013 - 8760 Load'!_Day530</vt:lpstr>
      <vt:lpstr>'2013 - 8760 Load'!_Day531</vt:lpstr>
      <vt:lpstr>'2013 - 8760 Load'!_Day532</vt:lpstr>
      <vt:lpstr>'2013 - 8760 Load'!_Day533</vt:lpstr>
      <vt:lpstr>'2013 - 8760 Load'!_Day534</vt:lpstr>
      <vt:lpstr>'2013 - 8760 Load'!_Day535</vt:lpstr>
      <vt:lpstr>'2013 - 8760 Load'!_Day536</vt:lpstr>
      <vt:lpstr>'2013 - 8760 Load'!_Day537</vt:lpstr>
      <vt:lpstr>'2013 - 8760 Load'!_Day538</vt:lpstr>
      <vt:lpstr>'2013 - 8760 Load'!_Day539</vt:lpstr>
      <vt:lpstr>'2013 - 8760 Load'!_Day540</vt:lpstr>
      <vt:lpstr>'2013 - 8760 Load'!_Day541</vt:lpstr>
      <vt:lpstr>'2013 - 8760 Load'!_Day542</vt:lpstr>
      <vt:lpstr>'2013 - 8760 Load'!_Day543</vt:lpstr>
      <vt:lpstr>'2013 - 8760 Load'!_Day544</vt:lpstr>
      <vt:lpstr>'2013 - 8760 Load'!_Day545</vt:lpstr>
      <vt:lpstr>'2013 - 8760 Load'!_Day546</vt:lpstr>
      <vt:lpstr>'2013 - 8760 Load'!_Day547</vt:lpstr>
      <vt:lpstr>'2013 - 8760 Load'!_Day548</vt:lpstr>
      <vt:lpstr>'2013 - 8760 Load'!_Day549</vt:lpstr>
      <vt:lpstr>'2013 - 8760 Load'!_Day550</vt:lpstr>
      <vt:lpstr>'2013 - 8760 Load'!_Day551</vt:lpstr>
      <vt:lpstr>'2013 - 8760 Load'!_Day552</vt:lpstr>
      <vt:lpstr>'2013 - 8760 Load'!_Day553</vt:lpstr>
      <vt:lpstr>'2013 - 8760 Load'!_Day554</vt:lpstr>
      <vt:lpstr>'2013 - 8760 Load'!_Day555</vt:lpstr>
      <vt:lpstr>'2013 - 8760 Load'!_Day556</vt:lpstr>
      <vt:lpstr>'2013 - 8760 Load'!_Day557</vt:lpstr>
      <vt:lpstr>'2013 - 8760 Load'!_Day558</vt:lpstr>
      <vt:lpstr>'2013 - 8760 Load'!_Day559</vt:lpstr>
      <vt:lpstr>'2013 - 8760 Load'!_Day560</vt:lpstr>
      <vt:lpstr>'2013 - 8760 Load'!_Day561</vt:lpstr>
      <vt:lpstr>'2013 - 8760 Load'!_Day562</vt:lpstr>
      <vt:lpstr>'2013 - 8760 Load'!_Day563</vt:lpstr>
      <vt:lpstr>'2013 - 8760 Load'!_Day564</vt:lpstr>
      <vt:lpstr>'2013 - 8760 Load'!_Day565</vt:lpstr>
      <vt:lpstr>'2013 - 8760 Load'!_Day566</vt:lpstr>
      <vt:lpstr>'2013 - 8760 Load'!_Day567</vt:lpstr>
      <vt:lpstr>'2013 - 8760 Load'!_Day568</vt:lpstr>
      <vt:lpstr>'2013 - 8760 Load'!_Day569</vt:lpstr>
      <vt:lpstr>'2013 - 8760 Load'!_Day570</vt:lpstr>
      <vt:lpstr>'2013 - 8760 Load'!_Day571</vt:lpstr>
      <vt:lpstr>'2013 - 8760 Load'!_Day572</vt:lpstr>
      <vt:lpstr>'2013 - 8760 Load'!_Day573</vt:lpstr>
      <vt:lpstr>'2013 - 8760 Load'!_Day574</vt:lpstr>
      <vt:lpstr>'2013 - 8760 Load'!_Day575</vt:lpstr>
      <vt:lpstr>'2013 - 8760 Load'!_Day576</vt:lpstr>
      <vt:lpstr>'2013 - 8760 Load'!_Day577</vt:lpstr>
      <vt:lpstr>'2013 - 8760 Load'!_Day578</vt:lpstr>
      <vt:lpstr>'2013 - 8760 Load'!_Day579</vt:lpstr>
      <vt:lpstr>'2013 - 8760 Load'!_Day580</vt:lpstr>
      <vt:lpstr>'2013 - 8760 Load'!_Day581</vt:lpstr>
      <vt:lpstr>'2013 - 8760 Load'!_Day582</vt:lpstr>
      <vt:lpstr>'2013 - 8760 Load'!_Day583</vt:lpstr>
      <vt:lpstr>'2013 - 8760 Load'!_Day584</vt:lpstr>
      <vt:lpstr>'2013 - 8760 Load'!_Day585</vt:lpstr>
      <vt:lpstr>'2013 - 8760 Load'!_Day586</vt:lpstr>
      <vt:lpstr>'2013 - 8760 Load'!_Day587</vt:lpstr>
      <vt:lpstr>'2013 - 8760 Load'!_Day588</vt:lpstr>
      <vt:lpstr>'2013 - 8760 Load'!_Day589</vt:lpstr>
      <vt:lpstr>'2013 - 8760 Load'!_Day590</vt:lpstr>
      <vt:lpstr>'2013 - 8760 Load'!_Day591</vt:lpstr>
      <vt:lpstr>'2013 - 8760 Load'!_Day592</vt:lpstr>
      <vt:lpstr>'2013 - 8760 Load'!_Day593</vt:lpstr>
      <vt:lpstr>'2013 - 8760 Load'!_Day594</vt:lpstr>
      <vt:lpstr>'2013 - 8760 Load'!_Day595</vt:lpstr>
      <vt:lpstr>'2013 - 8760 Load'!_Day596</vt:lpstr>
      <vt:lpstr>'2013 - 8760 Load'!_Day597</vt:lpstr>
      <vt:lpstr>'2013 - 8760 Load'!_Day598</vt:lpstr>
      <vt:lpstr>'2013 - 8760 Load'!_Day599</vt:lpstr>
      <vt:lpstr>'2013 - 8760 Load'!_Day600</vt:lpstr>
      <vt:lpstr>'2013 - 8760 Load'!_Day601</vt:lpstr>
      <vt:lpstr>'2013 - 8760 Load'!_Day602</vt:lpstr>
      <vt:lpstr>'2013 - 8760 Load'!_Day603</vt:lpstr>
      <vt:lpstr>'2013 - 8760 Load'!_Day604</vt:lpstr>
      <vt:lpstr>'2013 - 8760 Load'!_Day605</vt:lpstr>
      <vt:lpstr>'2013 - 8760 Load'!_Day606</vt:lpstr>
      <vt:lpstr>'2013 - 8760 Load'!_Day607</vt:lpstr>
      <vt:lpstr>'2013 - 8760 Load'!_Day608</vt:lpstr>
      <vt:lpstr>'2013 - 8760 Load'!_Day609</vt:lpstr>
      <vt:lpstr>'2013 - 8760 Load'!_Day610</vt:lpstr>
      <vt:lpstr>'2013 - 8760 Load'!_Day611</vt:lpstr>
      <vt:lpstr>'2013 - 8760 Load'!_Day612</vt:lpstr>
      <vt:lpstr>'2013 - 8760 Load'!_Day613</vt:lpstr>
      <vt:lpstr>'2013 - 8760 Load'!_Day614</vt:lpstr>
      <vt:lpstr>'2013 - 8760 Load'!_Day615</vt:lpstr>
      <vt:lpstr>'2013 - 8760 Load'!_Day616</vt:lpstr>
      <vt:lpstr>'2013 - 8760 Load'!_Day617</vt:lpstr>
      <vt:lpstr>'2013 - 8760 Load'!_Day618</vt:lpstr>
      <vt:lpstr>'2013 - 8760 Load'!_Day619</vt:lpstr>
      <vt:lpstr>'2013 - 8760 Load'!_Day620</vt:lpstr>
      <vt:lpstr>'2013 - 8760 Load'!_Day621</vt:lpstr>
      <vt:lpstr>'2013 - 8760 Load'!_Day622</vt:lpstr>
      <vt:lpstr>'2013 - 8760 Load'!_Day623</vt:lpstr>
      <vt:lpstr>'2013 - 8760 Load'!_Day624</vt:lpstr>
      <vt:lpstr>'2013 - 8760 Load'!_Day625</vt:lpstr>
      <vt:lpstr>'2013 - 8760 Load'!_Day626</vt:lpstr>
      <vt:lpstr>'2013 - 8760 Load'!_Day627</vt:lpstr>
      <vt:lpstr>'2013 - 8760 Load'!_Day628</vt:lpstr>
      <vt:lpstr>'2013 - 8760 Load'!_Day629</vt:lpstr>
      <vt:lpstr>'2013 - 8760 Load'!_Day630</vt:lpstr>
      <vt:lpstr>'2013 - 8760 Load'!_Day631</vt:lpstr>
      <vt:lpstr>'2013 - 8760 Load'!_Day632</vt:lpstr>
      <vt:lpstr>'2013 - 8760 Load'!_Day633</vt:lpstr>
      <vt:lpstr>'2013 - 8760 Load'!_Day634</vt:lpstr>
      <vt:lpstr>'2013 - 8760 Load'!_Day635</vt:lpstr>
      <vt:lpstr>'2013 - 8760 Load'!_Day636</vt:lpstr>
      <vt:lpstr>'2013 - 8760 Load'!_Day637</vt:lpstr>
      <vt:lpstr>'2013 - 8760 Load'!_Day638</vt:lpstr>
      <vt:lpstr>'2013 - 8760 Load'!_Day639</vt:lpstr>
      <vt:lpstr>'2013 - 8760 Load'!_Day640</vt:lpstr>
      <vt:lpstr>'2013 - 8760 Load'!_Day641</vt:lpstr>
      <vt:lpstr>'2013 - 8760 Load'!_Day642</vt:lpstr>
      <vt:lpstr>'2013 - 8760 Load'!_Day643</vt:lpstr>
      <vt:lpstr>'2013 - 8760 Load'!_Day644</vt:lpstr>
      <vt:lpstr>'2013 - 8760 Load'!_Day645</vt:lpstr>
      <vt:lpstr>'2013 - 8760 Load'!_Day646</vt:lpstr>
      <vt:lpstr>'2013 - 8760 Load'!_Day647</vt:lpstr>
      <vt:lpstr>'2013 - 8760 Load'!_Day648</vt:lpstr>
      <vt:lpstr>'2013 - 8760 Load'!_Day649</vt:lpstr>
      <vt:lpstr>'2013 - 8760 Load'!_Day650</vt:lpstr>
      <vt:lpstr>'2013 - 8760 Load'!_Day651</vt:lpstr>
      <vt:lpstr>'2013 - 8760 Load'!_Day652</vt:lpstr>
      <vt:lpstr>'2013 - 8760 Load'!_Day653</vt:lpstr>
      <vt:lpstr>'2013 - 8760 Load'!_Day654</vt:lpstr>
      <vt:lpstr>'2013 - 8760 Load'!_Day655</vt:lpstr>
      <vt:lpstr>'2013 - 8760 Load'!_Day656</vt:lpstr>
      <vt:lpstr>'2013 - 8760 Load'!_Day657</vt:lpstr>
      <vt:lpstr>'2013 - 8760 Load'!_Day658</vt:lpstr>
      <vt:lpstr>'2013 - 8760 Load'!_Day659</vt:lpstr>
      <vt:lpstr>'2013 - 8760 Load'!_Day660</vt:lpstr>
      <vt:lpstr>'2013 - 8760 Load'!_Day661</vt:lpstr>
      <vt:lpstr>'2013 - 8760 Load'!_Day662</vt:lpstr>
      <vt:lpstr>'2013 - 8760 Load'!_Day663</vt:lpstr>
      <vt:lpstr>'2013 - 8760 Load'!_Day664</vt:lpstr>
      <vt:lpstr>'2013 - 8760 Load'!_Day665</vt:lpstr>
      <vt:lpstr>'2013 - 8760 Load'!_Day666</vt:lpstr>
      <vt:lpstr>'2013 - 8760 Load'!_Day667</vt:lpstr>
      <vt:lpstr>'2013 - 8760 Load'!_Day668</vt:lpstr>
      <vt:lpstr>'2013 - 8760 Load'!_Day669</vt:lpstr>
      <vt:lpstr>'2013 - 8760 Load'!_Day670</vt:lpstr>
      <vt:lpstr>'2013 - 8760 Load'!_Day671</vt:lpstr>
      <vt:lpstr>'2013 - 8760 Load'!_Day672</vt:lpstr>
      <vt:lpstr>'2013 - 8760 Load'!_Day673</vt:lpstr>
      <vt:lpstr>'2013 - 8760 Load'!_Day674</vt:lpstr>
      <vt:lpstr>'2013 - 8760 Load'!_Day675</vt:lpstr>
      <vt:lpstr>'2013 - 8760 Load'!_Day676</vt:lpstr>
      <vt:lpstr>'2013 - 8760 Load'!_Day677</vt:lpstr>
      <vt:lpstr>'2013 - 8760 Load'!_Day678</vt:lpstr>
      <vt:lpstr>'2013 - 8760 Load'!_Day679</vt:lpstr>
      <vt:lpstr>'2013 - 8760 Load'!_Day680</vt:lpstr>
      <vt:lpstr>'2013 - 8760 Load'!_Day681</vt:lpstr>
      <vt:lpstr>'2013 - 8760 Load'!_Day682</vt:lpstr>
      <vt:lpstr>'2013 - 8760 Load'!_Day683</vt:lpstr>
      <vt:lpstr>'2013 - 8760 Load'!_Day684</vt:lpstr>
      <vt:lpstr>'2013 - 8760 Load'!_Day685</vt:lpstr>
      <vt:lpstr>'2013 - 8760 Load'!_Day686</vt:lpstr>
      <vt:lpstr>'2013 - 8760 Load'!_Day687</vt:lpstr>
      <vt:lpstr>'2013 - 8760 Load'!_Day688</vt:lpstr>
      <vt:lpstr>'2013 - 8760 Load'!_Day689</vt:lpstr>
      <vt:lpstr>'2013 - 8760 Load'!_Day690</vt:lpstr>
      <vt:lpstr>'2013 - 8760 Load'!_Day691</vt:lpstr>
      <vt:lpstr>'2013 - 8760 Load'!_Day692</vt:lpstr>
      <vt:lpstr>'2013 - 8760 Load'!_Day693</vt:lpstr>
      <vt:lpstr>'2013 - 8760 Load'!_Day694</vt:lpstr>
      <vt:lpstr>'2013 - 8760 Load'!_Day695</vt:lpstr>
      <vt:lpstr>'2013 - 8760 Load'!_Day696</vt:lpstr>
      <vt:lpstr>'2013 - 8760 Load'!_Day697</vt:lpstr>
      <vt:lpstr>'2013 - 8760 Load'!_Day698</vt:lpstr>
      <vt:lpstr>'2013 - 8760 Load'!_Day699</vt:lpstr>
      <vt:lpstr>'2013 - 8760 Load'!_Day700</vt:lpstr>
      <vt:lpstr>'2013 - 8760 Load'!_Day701</vt:lpstr>
      <vt:lpstr>'2013 - 8760 Load'!_Day702</vt:lpstr>
      <vt:lpstr>'2013 - 8760 Load'!_Day703</vt:lpstr>
      <vt:lpstr>'2013 - 8760 Load'!_Day704</vt:lpstr>
      <vt:lpstr>'2013 - 8760 Load'!_Day705</vt:lpstr>
      <vt:lpstr>'2013 - 8760 Load'!_Day706</vt:lpstr>
      <vt:lpstr>'2013 - 8760 Load'!_Day707</vt:lpstr>
      <vt:lpstr>'2013 - 8760 Load'!_Day708</vt:lpstr>
      <vt:lpstr>'2013 - 8760 Load'!_Day709</vt:lpstr>
      <vt:lpstr>'2013 - 8760 Load'!_Day710</vt:lpstr>
      <vt:lpstr>'2013 - 8760 Load'!_Day711</vt:lpstr>
      <vt:lpstr>'2013 - 8760 Load'!_Day712</vt:lpstr>
      <vt:lpstr>'2013 - 8760 Load'!_Day713</vt:lpstr>
      <vt:lpstr>'2013 - 8760 Load'!_Day714</vt:lpstr>
      <vt:lpstr>'2013 - 8760 Load'!_Day715</vt:lpstr>
      <vt:lpstr>'2013 - 8760 Load'!_Day716</vt:lpstr>
      <vt:lpstr>'2013 - 8760 Load'!_Day717</vt:lpstr>
      <vt:lpstr>'2013 - 8760 Load'!_Day718</vt:lpstr>
      <vt:lpstr>'2013 - 8760 Load'!_Day719</vt:lpstr>
      <vt:lpstr>'2013 - 8760 Load'!_Day720</vt:lpstr>
      <vt:lpstr>'2013 - 8760 Load'!_Day721</vt:lpstr>
      <vt:lpstr>'2013 - 8760 Load'!_Day722</vt:lpstr>
      <vt:lpstr>'2013 - 8760 Load'!_Day723</vt:lpstr>
      <vt:lpstr>'2013 - 8760 Load'!_Day724</vt:lpstr>
      <vt:lpstr>'2013 - 8760 Load'!_Day725</vt:lpstr>
      <vt:lpstr>'2013 - 8760 Load'!_Day726</vt:lpstr>
      <vt:lpstr>'2013 - 8760 Load'!_Day727</vt:lpstr>
      <vt:lpstr>'2013 - 8760 Load'!_Day728</vt:lpstr>
      <vt:lpstr>'2013 - 8760 Load'!_Day729</vt:lpstr>
      <vt:lpstr>'2013 - 8760 Load'!_Day730</vt:lpstr>
      <vt:lpstr>'2013 - 8760 Load'!_Day731</vt:lpstr>
      <vt:lpstr>'2013 - 8760 Load'!DailyConsumption</vt:lpstr>
      <vt:lpstr>'2013 - 8760 Load'!Dates</vt:lpstr>
      <vt:lpstr>'2013 - 8760 Load'!PR</vt:lpstr>
      <vt:lpstr>'2013 - 8760 Load'!Profile</vt:lpstr>
      <vt:lpstr>'2013 - 8760 Load'!ProfileRect</vt:lpstr>
      <vt:lpstr>'2013 - 8760 Load'!TimeHead1</vt:lpstr>
      <vt:lpstr>'2013 - 8760 Load'!TimeHead2</vt:lpstr>
      <vt:lpstr>'2013 - 8760 Load'!TotalConsumption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Anny</dc:creator>
  <cp:lastModifiedBy>McGuire, Michael</cp:lastModifiedBy>
  <dcterms:created xsi:type="dcterms:W3CDTF">2015-02-17T14:46:00Z</dcterms:created>
  <dcterms:modified xsi:type="dcterms:W3CDTF">2016-06-15T17:41:32Z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